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EPRI\MiscDevelopmentFiles\Builds\Staged\DEPLOY_Documents\Excel\"/>
    </mc:Choice>
  </mc:AlternateContent>
  <bookViews>
    <workbookView xWindow="105" yWindow="60" windowWidth="12120" windowHeight="9120"/>
  </bookViews>
  <sheets>
    <sheet name="Bandwidth Criteria" sheetId="1" r:id="rId1"/>
    <sheet name="Hub View" sheetId="2" r:id="rId2"/>
    <sheet name="Backbone Circuits" sheetId="3" r:id="rId3"/>
    <sheet name="Sheet5" sheetId="5" r:id="rId4"/>
    <sheet name="Sheet6" sheetId="6" r:id="rId5"/>
    <sheet name="Sheet7" sheetId="7" r:id="rId6"/>
    <sheet name="Sheet8" sheetId="8" r:id="rId7"/>
    <sheet name="Sheet9" sheetId="9" r:id="rId8"/>
    <sheet name="Sheet10" sheetId="10" r:id="rId9"/>
    <sheet name="Sheet11" sheetId="11" r:id="rId10"/>
    <sheet name="Sheet12" sheetId="12" r:id="rId11"/>
  </sheets>
  <definedNames>
    <definedName name="_xlnm.Print_Area" localSheetId="0">'Bandwidth Criteria'!$A$2:$L$191</definedName>
  </definedNames>
  <calcPr calcId="162913"/>
</workbook>
</file>

<file path=xl/calcChain.xml><?xml version="1.0" encoding="utf-8"?>
<calcChain xmlns="http://schemas.openxmlformats.org/spreadsheetml/2006/main">
  <c r="N8" i="3" l="1"/>
  <c r="E6" i="1"/>
  <c r="E14" i="1"/>
  <c r="E15" i="1"/>
  <c r="E17" i="1"/>
  <c r="E24" i="1"/>
  <c r="E35" i="1"/>
  <c r="E36" i="1"/>
  <c r="E39" i="1"/>
  <c r="E47" i="1"/>
  <c r="E48" i="1"/>
  <c r="E60" i="1"/>
  <c r="E61" i="1"/>
  <c r="E62" i="1"/>
  <c r="G79" i="1"/>
  <c r="M79" i="1"/>
  <c r="H5" i="1" s="1"/>
  <c r="N79" i="1"/>
  <c r="H87" i="1"/>
  <c r="H102" i="1" s="1"/>
  <c r="E91" i="1"/>
  <c r="E93" i="1"/>
  <c r="E101" i="1"/>
  <c r="E109" i="1"/>
  <c r="E111" i="1"/>
  <c r="G116" i="1"/>
  <c r="G117" i="1"/>
  <c r="H96" i="1" s="1"/>
  <c r="H124" i="1"/>
  <c r="H127" i="1" s="1"/>
  <c r="H125" i="1"/>
  <c r="E128" i="1"/>
  <c r="H134" i="1"/>
  <c r="G135" i="1"/>
  <c r="G136" i="1" s="1"/>
  <c r="H12" i="1" l="1"/>
  <c r="H18" i="1"/>
  <c r="K18" i="1" s="1"/>
  <c r="H26" i="1"/>
  <c r="H41" i="1"/>
  <c r="K41" i="1" s="1"/>
  <c r="H48" i="1"/>
  <c r="K48" i="1" s="1"/>
  <c r="H68" i="1"/>
  <c r="H13" i="1"/>
  <c r="H27" i="1"/>
  <c r="H57" i="1"/>
  <c r="K57" i="1" s="1"/>
  <c r="H62" i="1"/>
  <c r="K62" i="1" s="1"/>
  <c r="H69" i="1"/>
  <c r="H39" i="1"/>
  <c r="H19" i="1"/>
  <c r="K19" i="1" s="1"/>
  <c r="H28" i="1"/>
  <c r="H35" i="1"/>
  <c r="H42" i="1"/>
  <c r="H49" i="1"/>
  <c r="H70" i="1"/>
  <c r="H6" i="1"/>
  <c r="H14" i="1"/>
  <c r="K14" i="1" s="1"/>
  <c r="H29" i="1"/>
  <c r="H43" i="1"/>
  <c r="H50" i="1"/>
  <c r="H58" i="1"/>
  <c r="H63" i="1"/>
  <c r="K63" i="1" s="1"/>
  <c r="H71" i="1"/>
  <c r="K71" i="1" s="1"/>
  <c r="H7" i="1"/>
  <c r="K7" i="1" s="1"/>
  <c r="H20" i="1"/>
  <c r="H30" i="1"/>
  <c r="K30" i="1" s="1"/>
  <c r="H36" i="1"/>
  <c r="K36" i="1" s="1"/>
  <c r="H44" i="1"/>
  <c r="H51" i="1"/>
  <c r="H59" i="1"/>
  <c r="K59" i="1" s="1"/>
  <c r="H24" i="1"/>
  <c r="H47" i="1"/>
  <c r="K47" i="1" s="1"/>
  <c r="H11" i="1"/>
  <c r="K11" i="1" s="1"/>
  <c r="H61" i="1"/>
  <c r="K61" i="1" s="1"/>
  <c r="H21" i="1"/>
  <c r="H45" i="1"/>
  <c r="H52" i="1"/>
  <c r="K52" i="1" s="1"/>
  <c r="H64" i="1"/>
  <c r="K64" i="1" s="1"/>
  <c r="H72" i="1"/>
  <c r="K72" i="1" s="1"/>
  <c r="H8" i="1"/>
  <c r="H15" i="1"/>
  <c r="K15" i="1" s="1"/>
  <c r="H22" i="1"/>
  <c r="H31" i="1"/>
  <c r="H37" i="1"/>
  <c r="H46" i="1"/>
  <c r="K46" i="1" s="1"/>
  <c r="H55" i="1"/>
  <c r="H9" i="1"/>
  <c r="H23" i="1"/>
  <c r="H32" i="1"/>
  <c r="K32" i="1" s="1"/>
  <c r="H38" i="1"/>
  <c r="H53" i="1"/>
  <c r="H60" i="1"/>
  <c r="K60" i="1" s="1"/>
  <c r="H65" i="1"/>
  <c r="K65" i="1" s="1"/>
  <c r="H54" i="1"/>
  <c r="K54" i="1" s="1"/>
  <c r="H40" i="1"/>
  <c r="K40" i="1" s="1"/>
  <c r="H10" i="1"/>
  <c r="K10" i="1" s="1"/>
  <c r="H16" i="1"/>
  <c r="K16" i="1" s="1"/>
  <c r="H33" i="1"/>
  <c r="K33" i="1" s="1"/>
  <c r="H66" i="1"/>
  <c r="K66" i="1" s="1"/>
  <c r="H25" i="1"/>
  <c r="K25" i="1" s="1"/>
  <c r="H17" i="1"/>
  <c r="H34" i="1"/>
  <c r="K34" i="1" s="1"/>
  <c r="H56" i="1"/>
  <c r="K56" i="1" s="1"/>
  <c r="H67" i="1"/>
  <c r="H126" i="1"/>
  <c r="H103" i="1"/>
  <c r="H95" i="1"/>
  <c r="H88" i="1"/>
  <c r="K88" i="1" s="1"/>
  <c r="H109" i="1"/>
  <c r="H133" i="1"/>
  <c r="K133" i="1" s="1"/>
  <c r="H101" i="1"/>
  <c r="K101" i="1" s="1"/>
  <c r="H93" i="1"/>
  <c r="K93" i="1" s="1"/>
  <c r="H110" i="1"/>
  <c r="H132" i="1"/>
  <c r="K132" i="1" s="1"/>
  <c r="H108" i="1"/>
  <c r="K108" i="1" s="1"/>
  <c r="H100" i="1"/>
  <c r="H131" i="1"/>
  <c r="H115" i="1"/>
  <c r="K115" i="1" s="1"/>
  <c r="H92" i="1"/>
  <c r="K92" i="1" s="1"/>
  <c r="H94" i="1"/>
  <c r="H130" i="1"/>
  <c r="H107" i="1"/>
  <c r="K107" i="1" s="1"/>
  <c r="H99" i="1"/>
  <c r="K99" i="1" s="1"/>
  <c r="H91" i="1"/>
  <c r="H114" i="1"/>
  <c r="K114" i="1" s="1"/>
  <c r="H98" i="1"/>
  <c r="H128" i="1"/>
  <c r="H113" i="1"/>
  <c r="H106" i="1"/>
  <c r="K106" i="1" s="1"/>
  <c r="H90" i="1"/>
  <c r="H129" i="1"/>
  <c r="H112" i="1"/>
  <c r="H105" i="1"/>
  <c r="H97" i="1"/>
  <c r="K97" i="1" s="1"/>
  <c r="H89" i="1"/>
  <c r="H111" i="1"/>
  <c r="H104" i="1"/>
</calcChain>
</file>

<file path=xl/sharedStrings.xml><?xml version="1.0" encoding="utf-8"?>
<sst xmlns="http://schemas.openxmlformats.org/spreadsheetml/2006/main" count="629" uniqueCount="323">
  <si>
    <t>Educational Entity</t>
  </si>
  <si>
    <t>FIRN May 2001 District Survey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</si>
  <si>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</si>
  <si>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</si>
  <si>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</si>
  <si>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</si>
  <si>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</si>
  <si>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</si>
  <si>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</si>
  <si>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</si>
  <si>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</si>
  <si>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</si>
  <si>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</si>
  <si>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</si>
  <si>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DADE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</si>
  <si>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</si>
  <si>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</si>
  <si>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</si>
  <si>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</si>
  <si>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</si>
  <si>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</si>
  <si>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</si>
  <si>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</si>
  <si>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</si>
  <si>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</si>
  <si>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</si>
  <si>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</si>
  <si>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</si>
  <si>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</si>
  <si>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</si>
  <si>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</si>
  <si>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</si>
  <si>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</si>
  <si>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</si>
  <si>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</si>
  <si>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</si>
  <si>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</si>
  <si>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</si>
  <si>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</si>
  <si>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</si>
  <si>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</si>
  <si>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</si>
  <si>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</si>
  <si>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</si>
  <si>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</si>
  <si>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</si>
  <si>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</si>
  <si>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</si>
  <si>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</si>
  <si>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</si>
  <si>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</si>
  <si>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</si>
  <si>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</si>
  <si>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</si>
  <si>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</si>
  <si>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</si>
  <si>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ST. JOHNS</t>
  </si>
  <si>
    <t>ST. LUCIE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</si>
  <si>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</si>
  <si>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</si>
  <si>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</si>
  <si>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</si>
  <si>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</si>
  <si>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</si>
  <si>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</si>
  <si>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</si>
  <si>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</si>
  <si>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</si>
  <si>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</si>
  <si>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DEAF/BLIND</t>
  </si>
  <si>
    <t>DOZIER/OKEEC</t>
  </si>
  <si>
    <t>FAU LAB SCH</t>
  </si>
  <si>
    <t>FSU LAB SCH</t>
  </si>
  <si>
    <t>FAMU LAB SCH</t>
  </si>
  <si>
    <t>UF   LAB SCH</t>
  </si>
  <si>
    <t>School Districts</t>
  </si>
  <si>
    <t>TOTAL K-12</t>
  </si>
  <si>
    <t>ISG View and Network Enhancement Requests</t>
  </si>
  <si>
    <t>100mb MAN</t>
  </si>
  <si>
    <t>2 T-1's</t>
  </si>
  <si>
    <t>T-3</t>
  </si>
  <si>
    <t xml:space="preserve">100mb </t>
  </si>
  <si>
    <t>100mb</t>
  </si>
  <si>
    <t>T-1</t>
  </si>
  <si>
    <t>Current Connecting Bandwidth</t>
  </si>
  <si>
    <t>NOTE:</t>
  </si>
  <si>
    <t xml:space="preserve">W/S IA Use </t>
  </si>
  <si>
    <t>10mb</t>
  </si>
  <si>
    <t>T-1 &amp; T-3</t>
  </si>
  <si>
    <t xml:space="preserve"> T-3</t>
  </si>
  <si>
    <r>
      <t xml:space="preserve">Student Population Factor-2001/2002     </t>
    </r>
    <r>
      <rPr>
        <b/>
        <sz val="8"/>
        <rFont val="Arial"/>
        <family val="2"/>
      </rPr>
      <t xml:space="preserve">Population-Bandwidth in X mbps </t>
    </r>
  </si>
  <si>
    <t>Brevard</t>
  </si>
  <si>
    <t>Broward</t>
  </si>
  <si>
    <t>Central Florida</t>
  </si>
  <si>
    <t>Chipola</t>
  </si>
  <si>
    <t>Daytona Beach</t>
  </si>
  <si>
    <t>Edison</t>
  </si>
  <si>
    <t>FCCJ</t>
  </si>
  <si>
    <t>Florida Keys</t>
  </si>
  <si>
    <t>Gulf Coast</t>
  </si>
  <si>
    <t>Hillsborough</t>
  </si>
  <si>
    <t>Indian River</t>
  </si>
  <si>
    <t>Lake City</t>
  </si>
  <si>
    <t>Lake-Sumter</t>
  </si>
  <si>
    <t>Manatee</t>
  </si>
  <si>
    <t>Miami-Dade</t>
  </si>
  <si>
    <t>North Florida</t>
  </si>
  <si>
    <t>Okaloosa-Walton</t>
  </si>
  <si>
    <t>Palm Beach</t>
  </si>
  <si>
    <t>Pasco-Hernando</t>
  </si>
  <si>
    <t>Pensacola</t>
  </si>
  <si>
    <t>Polk</t>
  </si>
  <si>
    <t>St. Johns</t>
  </si>
  <si>
    <t>St. Petersburg</t>
  </si>
  <si>
    <t>Santa Fe</t>
  </si>
  <si>
    <t>Seminole</t>
  </si>
  <si>
    <t>South Florida</t>
  </si>
  <si>
    <t>Tallahassee</t>
  </si>
  <si>
    <t>Valencia</t>
  </si>
  <si>
    <t>Community Colleges</t>
  </si>
  <si>
    <t>TOTALS</t>
  </si>
  <si>
    <t>Universities</t>
  </si>
  <si>
    <t>FSU</t>
  </si>
  <si>
    <t>UF</t>
  </si>
  <si>
    <t>FAMU</t>
  </si>
  <si>
    <t>USF</t>
  </si>
  <si>
    <t>FAU</t>
  </si>
  <si>
    <t>UWF</t>
  </si>
  <si>
    <t>UCF</t>
  </si>
  <si>
    <t>FIU</t>
  </si>
  <si>
    <t>UNF</t>
  </si>
  <si>
    <t>FGCU</t>
  </si>
  <si>
    <t>100mbps</t>
  </si>
  <si>
    <t>17*</t>
  </si>
  <si>
    <t>not serviced</t>
  </si>
  <si>
    <r>
      <t xml:space="preserve">MRTG Analysis   </t>
    </r>
    <r>
      <rPr>
        <b/>
        <sz val="8"/>
        <rFont val="Arial"/>
        <family val="2"/>
      </rPr>
      <t>Avg of Annual Weekly Peaks in Xmbps (done 07/02)</t>
    </r>
  </si>
  <si>
    <t>Y</t>
  </si>
  <si>
    <t>HUBS</t>
  </si>
  <si>
    <t>FIRN-TLH</t>
  </si>
  <si>
    <t>Hayes Internet GW</t>
  </si>
  <si>
    <t>Deland</t>
  </si>
  <si>
    <t>Gainesville</t>
  </si>
  <si>
    <t>Mayo</t>
  </si>
  <si>
    <t>Orlando-BB</t>
  </si>
  <si>
    <t>Panama City</t>
  </si>
  <si>
    <t>Tampa</t>
  </si>
  <si>
    <t>Tallahassee-BB</t>
  </si>
  <si>
    <t>Marianna</t>
  </si>
  <si>
    <t>Ft. Myers</t>
  </si>
  <si>
    <t>Jacksonville</t>
  </si>
  <si>
    <t>Miami-Dis</t>
  </si>
  <si>
    <t>Miami-BB</t>
  </si>
  <si>
    <t>Orlando-Dis</t>
  </si>
  <si>
    <t>Tallahassee-Dis</t>
  </si>
  <si>
    <t>Tallahassee-NWRDC</t>
  </si>
  <si>
    <t>Congestion Reports</t>
  </si>
  <si>
    <t>100mb-MAN</t>
  </si>
  <si>
    <t xml:space="preserve"> Not measured</t>
  </si>
  <si>
    <t>BellSouth</t>
  </si>
  <si>
    <t>Sprint</t>
  </si>
  <si>
    <t>BBN Planet</t>
  </si>
  <si>
    <t>Cable &amp; W"less</t>
  </si>
  <si>
    <t>FDN</t>
  </si>
  <si>
    <t>Quest &amp; GRU</t>
  </si>
  <si>
    <r>
      <t xml:space="preserve">Alternative ISP Deployed </t>
    </r>
    <r>
      <rPr>
        <b/>
        <sz val="8"/>
        <rFont val="Arial"/>
        <family val="2"/>
      </rPr>
      <t>(Named if so)</t>
    </r>
  </si>
  <si>
    <t>CIR</t>
  </si>
  <si>
    <t>OC-3</t>
  </si>
  <si>
    <t>MAN</t>
  </si>
  <si>
    <t>Circuit</t>
  </si>
  <si>
    <t>Platka</t>
  </si>
  <si>
    <t>U,IG to 90mb</t>
  </si>
  <si>
    <t>Y, full T-1</t>
  </si>
  <si>
    <t>District % of W/S Usage</t>
  </si>
  <si>
    <t xml:space="preserve"> </t>
  </si>
  <si>
    <r>
      <t>Bandwidth</t>
    </r>
    <r>
      <rPr>
        <sz val="10"/>
        <rFont val="Arial"/>
      </rPr>
      <t xml:space="preserve"> per student is based on the statewide average of 3.7 students per workstation and 6 workstations per 56kbps </t>
    </r>
  </si>
  <si>
    <t xml:space="preserve">voice grade channel over the access link, multiplied by the W/S IA Usage coefficient </t>
  </si>
  <si>
    <r>
      <t>*</t>
    </r>
    <r>
      <rPr>
        <sz val="10"/>
        <rFont val="Arial"/>
      </rPr>
      <t xml:space="preserve"> MAN shared access - indistinguishable</t>
    </r>
  </si>
  <si>
    <r>
      <t>W/S IA Usage</t>
    </r>
    <r>
      <rPr>
        <sz val="10"/>
        <rFont val="Arial"/>
      </rPr>
      <t xml:space="preserve">={(7.5 school hours per day)/24 hours per day)*(the K-12 survey average factor for instructional </t>
    </r>
  </si>
  <si>
    <t>Y, fT-3 w/ 4m</t>
  </si>
  <si>
    <t>Y, to 10m MAN</t>
  </si>
  <si>
    <t>Y,2nd T-1</t>
  </si>
  <si>
    <t>Y, up IMT-GNV</t>
  </si>
  <si>
    <t>Y, +6m</t>
  </si>
  <si>
    <t>Y, 2nd T-1</t>
  </si>
  <si>
    <t>Y, up to 35m</t>
  </si>
  <si>
    <t>Y, up to 100mb</t>
  </si>
  <si>
    <t>Y, to fT-3</t>
  </si>
  <si>
    <t>Y, +3m</t>
  </si>
  <si>
    <t>Internet Gateways</t>
  </si>
  <si>
    <t>Orlando</t>
  </si>
  <si>
    <t>Miami</t>
  </si>
  <si>
    <t>2 T-3's</t>
  </si>
  <si>
    <t>U, to 90m</t>
  </si>
  <si>
    <t>CC-Stud/WS</t>
  </si>
  <si>
    <t>W/S IA Use</t>
  </si>
  <si>
    <t>SUS Stud/WS</t>
  </si>
  <si>
    <t>WS IA Use</t>
  </si>
  <si>
    <t>OK</t>
  </si>
  <si>
    <t xml:space="preserve">OK </t>
  </si>
  <si>
    <t>MAN to save $</t>
  </si>
  <si>
    <t>Awaiting up'gds</t>
  </si>
  <si>
    <t>up'dg access</t>
  </si>
  <si>
    <t xml:space="preserve">At capacity </t>
  </si>
  <si>
    <t>MRTG Backbone Views</t>
  </si>
  <si>
    <t>Ft Myers</t>
  </si>
  <si>
    <t>Orlando - BB</t>
  </si>
  <si>
    <t>Orlando - Dis</t>
  </si>
  <si>
    <t>Palatka</t>
  </si>
  <si>
    <t>Tallahassee - Dis</t>
  </si>
  <si>
    <t>Tallahassee - NWRDC</t>
  </si>
  <si>
    <t>Tallahassee - BB</t>
  </si>
  <si>
    <t>Miami - Dis</t>
  </si>
  <si>
    <t>Internet Gateway</t>
  </si>
  <si>
    <t>Nodes - Col is FROM, Row is TO</t>
  </si>
  <si>
    <t>Hub/BB Circuit</t>
  </si>
  <si>
    <t>View of ATM Backbone Inter-Hub Circuits</t>
  </si>
  <si>
    <t>?</t>
  </si>
  <si>
    <t>X</t>
  </si>
  <si>
    <t>Coefficients are:</t>
  </si>
  <si>
    <t>2001 Survey</t>
  </si>
  <si>
    <t>no entry = 0</t>
  </si>
  <si>
    <t>MRTG Review</t>
  </si>
  <si>
    <t>0 if below CIR</t>
  </si>
  <si>
    <t>2 if equal CIR</t>
  </si>
  <si>
    <t>3 if over CIR</t>
  </si>
  <si>
    <t>ISG Rec</t>
  </si>
  <si>
    <t>0 if no rec</t>
  </si>
  <si>
    <t>1 if rec</t>
  </si>
  <si>
    <t>MRTG vs St BW</t>
  </si>
  <si>
    <t>no action</t>
  </si>
  <si>
    <t>1 if within 20%</t>
  </si>
  <si>
    <t>entry = .5</t>
  </si>
  <si>
    <t>The equation is then:</t>
  </si>
  <si>
    <t>(Annualized)</t>
  </si>
  <si>
    <r>
      <t>Bandwidth per student</t>
    </r>
    <r>
      <rPr>
        <sz val="10"/>
        <rFont val="Arial"/>
      </rPr>
      <t xml:space="preserve"> ={(((FTE headcount/3.7)/6)*56k)/1mbps}*W/S IA Usage Coefficient for the delivery system  </t>
    </r>
  </si>
  <si>
    <t>16-15CIR</t>
  </si>
  <si>
    <t>0.3-6CIR</t>
  </si>
  <si>
    <t>0.2-12CIR</t>
  </si>
  <si>
    <t>3.5-6CIR</t>
  </si>
  <si>
    <t>20-25CIR</t>
  </si>
  <si>
    <t>4-6CIR</t>
  </si>
  <si>
    <t>3-15CIR</t>
  </si>
  <si>
    <t>18-20CIR</t>
  </si>
  <si>
    <t>80-100CIR</t>
  </si>
  <si>
    <t>2-15CIR</t>
  </si>
  <si>
    <t>6-15CIR</t>
  </si>
  <si>
    <t>45-100CIR</t>
  </si>
  <si>
    <t>3-6CIR</t>
  </si>
  <si>
    <t>9-12CIR</t>
  </si>
  <si>
    <t>150-155CIR</t>
  </si>
  <si>
    <t>76-90CIR</t>
  </si>
  <si>
    <t>5-6CIR</t>
  </si>
  <si>
    <t>10-12CIR</t>
  </si>
  <si>
    <t>10-20CIR</t>
  </si>
  <si>
    <t>27-155CIR</t>
  </si>
  <si>
    <t>7-15CIR</t>
  </si>
  <si>
    <t>0.35-?CIR</t>
  </si>
  <si>
    <t>41-155CIR</t>
  </si>
  <si>
    <t>35-100CIR</t>
  </si>
  <si>
    <t>Values are in the format of MRTG Annual Usage - CIR from FIRN Map</t>
  </si>
  <si>
    <t>4.5-?CIR</t>
  </si>
  <si>
    <t>6.6-12CIR</t>
  </si>
  <si>
    <t>6.5-15CIR</t>
  </si>
  <si>
    <t>4.2-6CIR</t>
  </si>
  <si>
    <t>18-15CIR</t>
  </si>
  <si>
    <t>3.5-12CIR</t>
  </si>
  <si>
    <t>7-12CIR</t>
  </si>
  <si>
    <t>5-15CIR</t>
  </si>
  <si>
    <t>35-45CIR</t>
  </si>
  <si>
    <t>15-25CIR</t>
  </si>
  <si>
    <t>3-6mb</t>
  </si>
  <si>
    <t>4.5-155CIR</t>
  </si>
  <si>
    <t>N</t>
  </si>
  <si>
    <t>Eval ISP</t>
  </si>
  <si>
    <t>Take out?</t>
  </si>
  <si>
    <t>Eval Usage</t>
  </si>
  <si>
    <t>BellSouth.net</t>
  </si>
  <si>
    <t>Time Warner</t>
  </si>
  <si>
    <t>Cox</t>
  </si>
  <si>
    <t>0 if M above S</t>
  </si>
  <si>
    <t>1 if M below S</t>
  </si>
  <si>
    <t>2 if within 20%</t>
  </si>
  <si>
    <t>equals (Student supported bandwidth-CIR)/(MRTG Measaured Bandwidth)</t>
  </si>
  <si>
    <t>Color Codes:</t>
  </si>
  <si>
    <t>Within 60-80% of CIR capacity, consider for "N" upgrades</t>
  </si>
  <si>
    <t>Differential Ratio</t>
  </si>
  <si>
    <t>Sprint(Primary)</t>
  </si>
  <si>
    <t>AT&amp;T BrdBnd</t>
  </si>
  <si>
    <t>Earthlink</t>
  </si>
  <si>
    <t>Act</t>
  </si>
  <si>
    <t>Rank</t>
  </si>
  <si>
    <t>A formula intended to rank all of the subjective candidates</t>
  </si>
  <si>
    <t>A value of "X" indicates a subjective evaluation for immediate attention to bandwidth enhancements. "N" means plan for attention.</t>
  </si>
  <si>
    <t>Add 2nd T-1</t>
  </si>
  <si>
    <t>Increase CIR +6m</t>
  </si>
  <si>
    <t>Increase CIR +10m</t>
  </si>
  <si>
    <t>Install fracT-3 w/4m</t>
  </si>
  <si>
    <t>Add New T-3</t>
  </si>
  <si>
    <t>Increase CIR+3m</t>
  </si>
  <si>
    <t>Increase CIR +3m</t>
  </si>
  <si>
    <t>Increase CIR to 6m</t>
  </si>
  <si>
    <t>Increase CIR+6m</t>
  </si>
  <si>
    <t>Evaluate ISP Usage</t>
  </si>
  <si>
    <t>Install MAN @6m</t>
  </si>
  <si>
    <t>Install fracT-3 w/6m</t>
  </si>
  <si>
    <t xml:space="preserve">Development of FIRN action plans and ranking - three columns of information are used: </t>
  </si>
  <si>
    <r>
      <t xml:space="preserve">Thus, </t>
    </r>
    <r>
      <rPr>
        <b/>
        <sz val="10"/>
        <rFont val="Arial"/>
        <family val="2"/>
      </rPr>
      <t>Rank</t>
    </r>
    <r>
      <rPr>
        <sz val="10"/>
        <rFont val="Arial"/>
      </rPr>
      <t xml:space="preserve"> = (2001 Survey) + (MRTG Usage Review) + (ISG Rec) + (MRTGvsSbw) + Differential Ratio </t>
    </r>
  </si>
  <si>
    <t>An abbreviation of the specific action nesessary to enhance bandwidth to the educational entity</t>
  </si>
  <si>
    <t>FIRN Major User Bandwidth Analysis &amp; Criteria for Trust Fund Application</t>
  </si>
  <si>
    <t>FIRN Plan Actions Act..Rank…Enhancement….</t>
  </si>
  <si>
    <t>Enhancement</t>
  </si>
  <si>
    <t>Within 80-100% of CIR capacity, consider for "X" upgrades</t>
  </si>
  <si>
    <r>
      <t xml:space="preserve">NOTE: </t>
    </r>
    <r>
      <rPr>
        <sz val="10"/>
        <color indexed="8"/>
        <rFont val="Arial"/>
        <family val="2"/>
      </rPr>
      <t>Some community colleges use FIRN only as a alternative or back-up and have their own ISP arrangement</t>
    </r>
  </si>
  <si>
    <r>
      <t>W/S IA Usage</t>
    </r>
    <r>
      <rPr>
        <sz val="10"/>
        <rFont val="Arial"/>
      </rPr>
      <t xml:space="preserve">={(12 college hours per day)/24 hours per day)*(the estimated college average use factor for instructional </t>
    </r>
  </si>
  <si>
    <r>
      <t>Bandwidth</t>
    </r>
    <r>
      <rPr>
        <sz val="10"/>
        <rFont val="Arial"/>
      </rPr>
      <t xml:space="preserve"> per student is based on the statewide average of 11 students per workstation and 6 workstations per 56kbps </t>
    </r>
  </si>
  <si>
    <r>
      <t>Bandwidth per student</t>
    </r>
    <r>
      <rPr>
        <sz val="10"/>
        <rFont val="Arial"/>
      </rPr>
      <t xml:space="preserve"> ={(((FTE headcount/11)/6)*56k)/1mbps}*W/S IA Usage Coefficient for the delivery system  </t>
    </r>
  </si>
  <si>
    <r>
      <t>NOTE:</t>
    </r>
    <r>
      <rPr>
        <sz val="10"/>
        <rFont val="Arial"/>
      </rPr>
      <t xml:space="preserve"> Most SUS institutions have their own Internet access circuit and use FIRN as an alternative &amp; back-up</t>
    </r>
  </si>
  <si>
    <r>
      <t>W/S IA Usage</t>
    </r>
    <r>
      <rPr>
        <sz val="10"/>
        <rFont val="Arial"/>
      </rPr>
      <t xml:space="preserve">={(18 university hours per day)/24 hours per day)*(the estimated university average use factor for instructional </t>
    </r>
  </si>
  <si>
    <r>
      <t>Bandwidth</t>
    </r>
    <r>
      <rPr>
        <sz val="10"/>
        <rFont val="Arial"/>
      </rPr>
      <t xml:space="preserve"> per student is based on the statewide average of 2.6 students per workstation and 6 workstations per 56kbps </t>
    </r>
  </si>
  <si>
    <r>
      <t>Bandwidth per student</t>
    </r>
    <r>
      <rPr>
        <sz val="10"/>
        <rFont val="Arial"/>
      </rPr>
      <t xml:space="preserve"> ={(((FTE headcount/2.6)/6)*56k)/1mbps}*W/S IA Usage Coefficient for the delivery system  </t>
    </r>
  </si>
  <si>
    <t>workstation usage=68.3%)*(the FIRN Internet access % factor for K-12=51.09%)</t>
  </si>
  <si>
    <t>workstation usage=75%)*(the FIRN Internet access % factor for community colleges=37.21%)</t>
  </si>
  <si>
    <t>workstation usage=90%)*(the FIRN Internet access % factor for universities=48.64%)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</si>
</sst>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>
    <font>
      <sz val="10"/>
      <name val="Arial"/>
    </font>
    <font>
      <b/>
      <sz val="10"/>
      <name val="Arial"/>
      <family val="2"/>
    </font>
    <font>
      <u/>
      <sz val="10"/>
      <color indexed="12"/>
      <name val="Arial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color indexed="8"/>
      <name val="SWISS"/>
    </font>
    <font>
      <sz val="10"/>
      <color indexed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gray125">
        <bgColor indexed="9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164" fontId="0" fillId="0" borderId="0" xfId="0" applyNumberFormat="1" applyAlignment="1">
      <alignment wrapText="1"/>
    </xf>
    <xf numFmtId="164" fontId="0" fillId="0" borderId="0" xfId="0" applyNumberFormat="1"/>
    <xf numFmtId="0" fontId="4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3" fontId="0" fillId="0" borderId="0" xfId="0" applyNumberFormat="1"/>
    <xf numFmtId="0" fontId="0" fillId="0" borderId="1" xfId="0" applyBorder="1"/>
    <xf numFmtId="0" fontId="0" fillId="0" borderId="0" xfId="0" applyBorder="1"/>
    <xf numFmtId="3" fontId="6" fillId="0" borderId="0" xfId="0" applyNumberFormat="1" applyFont="1" applyBorder="1" applyAlignment="1">
      <alignment horizontal="right"/>
    </xf>
    <xf numFmtId="164" fontId="0" fillId="0" borderId="0" xfId="0" applyNumberFormat="1" applyBorder="1"/>
    <xf numFmtId="3" fontId="6" fillId="0" borderId="0" xfId="0" applyNumberFormat="1" applyFont="1" applyBorder="1" applyAlignment="1"/>
    <xf numFmtId="0" fontId="0" fillId="0" borderId="0" xfId="0" applyFill="1" applyBorder="1"/>
    <xf numFmtId="0" fontId="4" fillId="0" borderId="0" xfId="0" applyFont="1"/>
    <xf numFmtId="0" fontId="2" fillId="0" borderId="0" xfId="1" applyFont="1" applyAlignment="1" applyProtection="1"/>
    <xf numFmtId="0" fontId="0" fillId="0" borderId="0" xfId="0" applyAlignment="1">
      <alignment horizontal="right"/>
    </xf>
    <xf numFmtId="0" fontId="0" fillId="0" borderId="0" xfId="0" applyAlignment="1">
      <alignment horizontal="center" vertical="center" wrapText="1"/>
    </xf>
    <xf numFmtId="0" fontId="7" fillId="0" borderId="0" xfId="0" applyFont="1" applyBorder="1" applyProtection="1"/>
    <xf numFmtId="0" fontId="0" fillId="0" borderId="0" xfId="0" applyBorder="1" applyAlignment="1">
      <alignment horizontal="center" vertical="center" wrapText="1"/>
    </xf>
    <xf numFmtId="0" fontId="0" fillId="0" borderId="0" xfId="0" applyAlignment="1"/>
    <xf numFmtId="0" fontId="0" fillId="2" borderId="0" xfId="0" applyFill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/>
    <xf numFmtId="0" fontId="0" fillId="3" borderId="0" xfId="0" applyFill="1"/>
    <xf numFmtId="0" fontId="1" fillId="3" borderId="0" xfId="0" applyFont="1" applyFill="1"/>
    <xf numFmtId="0" fontId="9" fillId="0" borderId="0" xfId="0" applyFont="1"/>
    <xf numFmtId="0" fontId="0" fillId="4" borderId="0" xfId="0" applyFill="1"/>
    <xf numFmtId="0" fontId="1" fillId="4" borderId="0" xfId="0" applyFont="1" applyFill="1"/>
    <xf numFmtId="0" fontId="10" fillId="0" borderId="0" xfId="0" applyFont="1" applyFill="1" applyBorder="1" applyProtection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C-3@9mb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OC-3@6mb" TargetMode="External"/><Relationship Id="rId1" Type="http://schemas.openxmlformats.org/officeDocument/2006/relationships/hyperlink" Target="mailto:OC-3@6mb" TargetMode="External"/><Relationship Id="rId6" Type="http://schemas.openxmlformats.org/officeDocument/2006/relationships/hyperlink" Target="mailto:OC-3@9mb" TargetMode="External"/><Relationship Id="rId5" Type="http://schemas.openxmlformats.org/officeDocument/2006/relationships/hyperlink" Target="mailto:OC-3@6mb" TargetMode="External"/><Relationship Id="rId4" Type="http://schemas.openxmlformats.org/officeDocument/2006/relationships/hyperlink" Target="mailto:OC-3@6mb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1"/>
  <sheetViews>
    <sheetView tabSelected="1" workbookViewId="0">
      <selection activeCell="L141" sqref="L141"/>
    </sheetView>
  </sheetViews>
  <sheetFormatPr defaultRowHeight="12.75"/>
  <cols>
    <col min="1" max="1" width="17.85546875" customWidth="1"/>
    <col min="2" max="2" width="13.140625" customWidth="1"/>
    <col min="3" max="3" width="5.85546875" customWidth="1"/>
    <col min="4" max="4" width="15.140625" customWidth="1"/>
    <col min="5" max="5" width="14.5703125" customWidth="1"/>
    <col min="6" max="6" width="14" style="1" customWidth="1"/>
    <col min="7" max="7" width="9.7109375" customWidth="1"/>
    <col min="8" max="8" width="9.140625" style="5"/>
    <col min="9" max="9" width="13.140625" customWidth="1"/>
    <col min="10" max="10" width="2.42578125" customWidth="1"/>
    <col min="11" max="11" width="6.85546875" customWidth="1"/>
    <col min="12" max="12" width="17" style="19" customWidth="1"/>
  </cols>
  <sheetData>
    <row r="1" spans="1:13" ht="21" customHeight="1">
      <c r="A1" s="37" t="s">
        <v>173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3" ht="18">
      <c r="A2" s="35" t="s">
        <v>308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24"/>
    </row>
    <row r="3" spans="1:13">
      <c r="A3" s="38">
        <v>37482</v>
      </c>
      <c r="B3" s="36"/>
      <c r="C3" s="36"/>
      <c r="D3" s="36"/>
      <c r="E3" s="36"/>
      <c r="F3" s="36"/>
      <c r="G3" s="36"/>
      <c r="H3" s="39"/>
      <c r="I3" s="36"/>
      <c r="J3" s="36"/>
      <c r="K3" s="36"/>
      <c r="L3" s="36"/>
    </row>
    <row r="4" spans="1:13" ht="57.75" customHeight="1">
      <c r="A4" s="2" t="s">
        <v>0</v>
      </c>
      <c r="B4" s="2" t="s">
        <v>84</v>
      </c>
      <c r="C4" s="19"/>
      <c r="D4" s="2" t="s">
        <v>1</v>
      </c>
      <c r="E4" s="2" t="s">
        <v>135</v>
      </c>
      <c r="F4" s="2" t="s">
        <v>77</v>
      </c>
      <c r="G4" s="33" t="s">
        <v>90</v>
      </c>
      <c r="H4" s="33"/>
      <c r="I4" s="2" t="s">
        <v>164</v>
      </c>
      <c r="J4" s="33" t="s">
        <v>309</v>
      </c>
      <c r="K4" s="34"/>
      <c r="L4" s="34"/>
      <c r="M4" s="2" t="s">
        <v>172</v>
      </c>
    </row>
    <row r="5" spans="1:13" ht="15.75" customHeight="1">
      <c r="A5" s="3" t="s">
        <v>75</v>
      </c>
      <c r="B5" s="3" t="s">
        <v>168</v>
      </c>
      <c r="C5" s="3" t="s">
        <v>165</v>
      </c>
      <c r="D5" s="1"/>
      <c r="F5" s="19"/>
      <c r="G5" s="6" t="s">
        <v>86</v>
      </c>
      <c r="H5" s="4">
        <f>(((7.5)/(24))*M79)*0.5109</f>
        <v>0.10911026388888888</v>
      </c>
      <c r="J5" t="s">
        <v>173</v>
      </c>
      <c r="K5" t="s">
        <v>173</v>
      </c>
      <c r="L5" s="19" t="s">
        <v>173</v>
      </c>
    </row>
    <row r="6" spans="1:13">
      <c r="A6" t="s">
        <v>2</v>
      </c>
      <c r="B6" t="s">
        <v>78</v>
      </c>
      <c r="C6">
        <v>100</v>
      </c>
      <c r="E6">
        <f>13*0.5</f>
        <v>6.5</v>
      </c>
      <c r="F6" s="19"/>
      <c r="G6">
        <v>29599</v>
      </c>
      <c r="H6" s="5">
        <f>((((G6/3.7)/6)*56000)/1000000)*H$5</f>
        <v>8.1466244706056035</v>
      </c>
    </row>
    <row r="7" spans="1:13">
      <c r="A7" t="s">
        <v>3</v>
      </c>
      <c r="B7" t="s">
        <v>83</v>
      </c>
      <c r="C7">
        <v>1.5</v>
      </c>
      <c r="E7">
        <v>1.5</v>
      </c>
      <c r="F7" s="19"/>
      <c r="G7">
        <v>4490</v>
      </c>
      <c r="H7" s="5">
        <f>((((G7/3.7)/6)*56000)/1000000)*H$5</f>
        <v>1.2357966104604603</v>
      </c>
      <c r="J7" t="s">
        <v>272</v>
      </c>
      <c r="K7">
        <f>0+2+0+2+((H7-C7)/E7)</f>
        <v>3.8238644069736401</v>
      </c>
      <c r="L7" s="19" t="s">
        <v>293</v>
      </c>
    </row>
    <row r="8" spans="1:13">
      <c r="A8" t="s">
        <v>4</v>
      </c>
      <c r="B8" t="s">
        <v>82</v>
      </c>
      <c r="C8">
        <v>100</v>
      </c>
      <c r="E8">
        <v>5</v>
      </c>
      <c r="F8" s="19"/>
      <c r="G8">
        <v>26033</v>
      </c>
      <c r="H8" s="5">
        <f>((((G8/3.7)/6)*56000)/1000000)*H$5</f>
        <v>7.1651432427877859</v>
      </c>
      <c r="K8" t="s">
        <v>173</v>
      </c>
    </row>
    <row r="9" spans="1:13">
      <c r="A9" t="s">
        <v>5</v>
      </c>
      <c r="B9" t="s">
        <v>83</v>
      </c>
      <c r="C9">
        <v>1.5</v>
      </c>
      <c r="E9">
        <v>1.5</v>
      </c>
      <c r="F9" s="19"/>
      <c r="G9">
        <v>4096</v>
      </c>
      <c r="H9" s="5">
        <f>((((G9/3.7)/6)*56000)/1000000)*H$5</f>
        <v>1.1273547698098096</v>
      </c>
      <c r="K9" t="s">
        <v>173</v>
      </c>
    </row>
    <row r="10" spans="1:13">
      <c r="A10" t="s">
        <v>6</v>
      </c>
      <c r="B10" t="s">
        <v>80</v>
      </c>
      <c r="C10">
        <v>9</v>
      </c>
      <c r="E10">
        <v>15</v>
      </c>
      <c r="F10" s="19" t="s">
        <v>182</v>
      </c>
      <c r="G10">
        <v>71718</v>
      </c>
      <c r="H10" s="5">
        <f t="shared" ref="H10:H72" si="0">((((G10/3.7)/6)*56000)/1000000)*H$5</f>
        <v>19.739167329399393</v>
      </c>
      <c r="J10" t="s">
        <v>217</v>
      </c>
      <c r="K10">
        <f>0+3+1+1+((H10-C10)/E10)</f>
        <v>5.7159444886266257</v>
      </c>
      <c r="L10" s="19" t="s">
        <v>294</v>
      </c>
      <c r="M10">
        <v>0.15</v>
      </c>
    </row>
    <row r="11" spans="1:13" ht="14.25" customHeight="1">
      <c r="A11" t="s">
        <v>7</v>
      </c>
      <c r="B11" t="s">
        <v>80</v>
      </c>
      <c r="C11">
        <v>30</v>
      </c>
      <c r="D11" s="16" t="s">
        <v>155</v>
      </c>
      <c r="E11">
        <v>30</v>
      </c>
      <c r="F11" s="19" t="s">
        <v>184</v>
      </c>
      <c r="G11">
        <v>262027</v>
      </c>
      <c r="H11" s="5">
        <f t="shared" si="0"/>
        <v>72.11850299535034</v>
      </c>
      <c r="J11" t="s">
        <v>217</v>
      </c>
      <c r="K11">
        <f>0.5+2+1+1+((H11-C11)/E11)</f>
        <v>5.9039500998450114</v>
      </c>
      <c r="L11" s="19" t="s">
        <v>295</v>
      </c>
    </row>
    <row r="12" spans="1:13">
      <c r="A12" t="s">
        <v>8</v>
      </c>
      <c r="B12" t="s">
        <v>83</v>
      </c>
      <c r="C12">
        <v>1.5</v>
      </c>
      <c r="E12">
        <v>1.3</v>
      </c>
      <c r="F12" s="19"/>
      <c r="G12">
        <v>2212</v>
      </c>
      <c r="H12" s="5">
        <f t="shared" si="0"/>
        <v>0.60881561299299292</v>
      </c>
    </row>
    <row r="13" spans="1:13">
      <c r="A13" t="s">
        <v>9</v>
      </c>
      <c r="B13" t="s">
        <v>83</v>
      </c>
      <c r="C13">
        <v>1.5</v>
      </c>
      <c r="E13">
        <v>0.9</v>
      </c>
      <c r="F13" s="19"/>
      <c r="G13">
        <v>17302</v>
      </c>
      <c r="H13" s="5">
        <f t="shared" si="0"/>
        <v>4.7620830632932929</v>
      </c>
      <c r="I13" s="16" t="s">
        <v>161</v>
      </c>
      <c r="M13">
        <v>0.82499999999999996</v>
      </c>
    </row>
    <row r="14" spans="1:13" ht="17.25" customHeight="1">
      <c r="A14" t="s">
        <v>10</v>
      </c>
      <c r="B14" t="s">
        <v>79</v>
      </c>
      <c r="C14">
        <v>3</v>
      </c>
      <c r="D14" s="16" t="s">
        <v>155</v>
      </c>
      <c r="E14">
        <f>1.6+1.6</f>
        <v>3.2</v>
      </c>
      <c r="F14" s="19"/>
      <c r="G14">
        <v>15221</v>
      </c>
      <c r="H14" s="5">
        <f t="shared" si="0"/>
        <v>4.1893229861511507</v>
      </c>
      <c r="J14" t="s">
        <v>272</v>
      </c>
      <c r="K14">
        <f>0.5+3+0+1+((H14-C14)/E14)</f>
        <v>4.8716634331722348</v>
      </c>
      <c r="L14" s="1" t="s">
        <v>296</v>
      </c>
    </row>
    <row r="15" spans="1:13" ht="13.5" customHeight="1">
      <c r="A15" t="s">
        <v>11</v>
      </c>
      <c r="B15" t="s">
        <v>79</v>
      </c>
      <c r="C15">
        <v>3</v>
      </c>
      <c r="D15" s="16" t="s">
        <v>155</v>
      </c>
      <c r="E15">
        <f>1.95+1.7</f>
        <v>3.65</v>
      </c>
      <c r="F15" s="19" t="s">
        <v>178</v>
      </c>
      <c r="G15">
        <v>29013</v>
      </c>
      <c r="H15" s="5">
        <f t="shared" si="0"/>
        <v>7.9853378751201189</v>
      </c>
      <c r="J15" t="s">
        <v>217</v>
      </c>
      <c r="K15">
        <f>0.5+3+1+1+((H15-C15)/E15)</f>
        <v>6.8658459931835942</v>
      </c>
      <c r="L15" s="1" t="s">
        <v>296</v>
      </c>
    </row>
    <row r="16" spans="1:13">
      <c r="A16" t="s">
        <v>12</v>
      </c>
      <c r="B16" t="s">
        <v>83</v>
      </c>
      <c r="C16">
        <v>1.5</v>
      </c>
      <c r="D16" s="16"/>
      <c r="E16">
        <v>1.1000000000000001</v>
      </c>
      <c r="F16" s="19" t="s">
        <v>183</v>
      </c>
      <c r="G16">
        <v>36475</v>
      </c>
      <c r="H16" s="5">
        <f t="shared" si="0"/>
        <v>10.039127253128127</v>
      </c>
      <c r="I16" t="s">
        <v>286</v>
      </c>
      <c r="J16" t="s">
        <v>272</v>
      </c>
      <c r="K16">
        <f>0+0+1+1+((H16-C16)/E16)</f>
        <v>9.762842957389207</v>
      </c>
      <c r="L16" s="19" t="s">
        <v>229</v>
      </c>
      <c r="M16">
        <v>0.6</v>
      </c>
    </row>
    <row r="17" spans="1:13">
      <c r="A17" t="s">
        <v>13</v>
      </c>
      <c r="B17" t="s">
        <v>88</v>
      </c>
      <c r="C17">
        <v>3</v>
      </c>
      <c r="D17" s="16" t="s">
        <v>155</v>
      </c>
      <c r="E17">
        <f>0.2</f>
        <v>0.2</v>
      </c>
      <c r="F17" s="19"/>
      <c r="G17">
        <v>9560</v>
      </c>
      <c r="H17" s="5">
        <f t="shared" si="0"/>
        <v>2.6312284178178174</v>
      </c>
      <c r="M17">
        <v>0.67500000000000004</v>
      </c>
    </row>
    <row r="18" spans="1:13">
      <c r="A18" t="s">
        <v>14</v>
      </c>
      <c r="B18" t="s">
        <v>81</v>
      </c>
      <c r="C18">
        <v>100</v>
      </c>
      <c r="D18" s="16"/>
      <c r="E18">
        <v>90</v>
      </c>
      <c r="F18" s="19"/>
      <c r="G18">
        <v>374806</v>
      </c>
      <c r="H18" s="5">
        <f t="shared" si="0"/>
        <v>103.15901656575576</v>
      </c>
      <c r="J18" t="s">
        <v>272</v>
      </c>
      <c r="K18">
        <f>0+0+0+2+((H18-C18)/E18)</f>
        <v>2.0351001840639529</v>
      </c>
      <c r="L18" s="19" t="s">
        <v>297</v>
      </c>
    </row>
    <row r="19" spans="1:13">
      <c r="A19" t="s">
        <v>15</v>
      </c>
      <c r="B19" t="s">
        <v>83</v>
      </c>
      <c r="C19">
        <v>1.5</v>
      </c>
      <c r="D19" s="16"/>
      <c r="E19">
        <v>1.7</v>
      </c>
      <c r="F19" s="19" t="s">
        <v>183</v>
      </c>
      <c r="G19">
        <v>4714</v>
      </c>
      <c r="H19" s="5">
        <f t="shared" si="0"/>
        <v>1.2974488244344344</v>
      </c>
      <c r="J19" t="s">
        <v>217</v>
      </c>
      <c r="K19">
        <f>0+3+1+0+((H19-C19)/E19)</f>
        <v>3.8808522496673143</v>
      </c>
      <c r="L19" s="19" t="s">
        <v>293</v>
      </c>
    </row>
    <row r="20" spans="1:13">
      <c r="A20" t="s">
        <v>16</v>
      </c>
      <c r="B20" t="s">
        <v>83</v>
      </c>
      <c r="C20">
        <v>0.128</v>
      </c>
      <c r="D20" s="16"/>
      <c r="E20">
        <v>1.65</v>
      </c>
      <c r="F20" s="19"/>
      <c r="G20">
        <v>2264</v>
      </c>
      <c r="H20" s="5">
        <f t="shared" si="0"/>
        <v>0.62312773409409394</v>
      </c>
      <c r="M20">
        <v>0.9</v>
      </c>
    </row>
    <row r="21" spans="1:13">
      <c r="A21" t="s">
        <v>17</v>
      </c>
      <c r="B21" t="s">
        <v>87</v>
      </c>
      <c r="C21">
        <v>10</v>
      </c>
      <c r="D21" s="16"/>
      <c r="E21">
        <v>1.3</v>
      </c>
      <c r="F21" s="19" t="s">
        <v>136</v>
      </c>
      <c r="G21">
        <v>126919</v>
      </c>
      <c r="H21" s="5">
        <f t="shared" si="0"/>
        <v>34.932309577512505</v>
      </c>
      <c r="I21" t="s">
        <v>287</v>
      </c>
    </row>
    <row r="22" spans="1:13">
      <c r="A22" t="s">
        <v>18</v>
      </c>
      <c r="B22" t="s">
        <v>87</v>
      </c>
      <c r="C22">
        <v>10</v>
      </c>
      <c r="D22" s="16"/>
      <c r="E22">
        <v>3.5</v>
      </c>
      <c r="F22" s="19" t="s">
        <v>185</v>
      </c>
      <c r="G22">
        <v>44648</v>
      </c>
      <c r="H22" s="5">
        <f t="shared" si="0"/>
        <v>12.288607363883882</v>
      </c>
      <c r="I22" t="s">
        <v>278</v>
      </c>
      <c r="M22">
        <v>0.85</v>
      </c>
    </row>
    <row r="23" spans="1:13">
      <c r="A23" t="s">
        <v>19</v>
      </c>
      <c r="B23" t="s">
        <v>80</v>
      </c>
      <c r="C23">
        <v>6</v>
      </c>
      <c r="D23" s="16"/>
      <c r="E23">
        <v>3.1</v>
      </c>
      <c r="F23" s="19"/>
      <c r="G23">
        <v>7144</v>
      </c>
      <c r="H23" s="5">
        <f t="shared" si="0"/>
        <v>1.9662652528128126</v>
      </c>
      <c r="M23">
        <v>0.82499999999999996</v>
      </c>
    </row>
    <row r="24" spans="1:13">
      <c r="A24" t="s">
        <v>20</v>
      </c>
      <c r="B24" t="s">
        <v>79</v>
      </c>
      <c r="C24">
        <v>3</v>
      </c>
      <c r="D24" s="16"/>
      <c r="E24">
        <f>1.5+1.5</f>
        <v>3</v>
      </c>
      <c r="F24" s="19"/>
      <c r="G24">
        <v>1442</v>
      </c>
      <c r="H24" s="5">
        <f t="shared" si="0"/>
        <v>0.39688612745745733</v>
      </c>
    </row>
    <row r="25" spans="1:13">
      <c r="A25" t="s">
        <v>21</v>
      </c>
      <c r="B25" t="s">
        <v>83</v>
      </c>
      <c r="C25">
        <v>0.25600000000000001</v>
      </c>
      <c r="D25" s="16"/>
      <c r="E25">
        <v>1.45</v>
      </c>
      <c r="F25" s="19"/>
      <c r="G25">
        <v>7431</v>
      </c>
      <c r="H25" s="5">
        <f t="shared" si="0"/>
        <v>2.0452571519669669</v>
      </c>
      <c r="J25" t="s">
        <v>272</v>
      </c>
      <c r="K25">
        <f>0+3+0+1+((H25-C25)/E25)</f>
        <v>5.2339704496323911</v>
      </c>
      <c r="L25" s="19" t="s">
        <v>293</v>
      </c>
      <c r="M25">
        <v>0.9</v>
      </c>
    </row>
    <row r="26" spans="1:13">
      <c r="A26" t="s">
        <v>22</v>
      </c>
      <c r="B26" t="s">
        <v>83</v>
      </c>
      <c r="C26">
        <v>44.2</v>
      </c>
      <c r="D26" s="16"/>
      <c r="E26">
        <v>1.4</v>
      </c>
      <c r="F26" s="19"/>
      <c r="G26">
        <v>2669</v>
      </c>
      <c r="H26" s="5">
        <f t="shared" si="0"/>
        <v>0.73459713882382371</v>
      </c>
    </row>
    <row r="27" spans="1:13">
      <c r="A27" t="s">
        <v>23</v>
      </c>
      <c r="B27" t="s">
        <v>83</v>
      </c>
      <c r="C27">
        <v>1.5</v>
      </c>
      <c r="D27" s="16"/>
      <c r="E27">
        <v>0.2</v>
      </c>
      <c r="F27" s="19"/>
      <c r="G27">
        <v>1099</v>
      </c>
      <c r="H27" s="5">
        <f t="shared" si="0"/>
        <v>0.30248117480980979</v>
      </c>
      <c r="M27">
        <v>0.95</v>
      </c>
    </row>
    <row r="28" spans="1:13">
      <c r="A28" t="s">
        <v>24</v>
      </c>
      <c r="B28" t="s">
        <v>83</v>
      </c>
      <c r="C28">
        <v>1.5</v>
      </c>
      <c r="D28" s="16"/>
      <c r="E28">
        <v>1.7</v>
      </c>
      <c r="F28" s="19"/>
      <c r="G28">
        <v>2218</v>
      </c>
      <c r="H28" s="5">
        <f t="shared" si="0"/>
        <v>0.61046701158158145</v>
      </c>
    </row>
    <row r="29" spans="1:13">
      <c r="A29" t="s">
        <v>25</v>
      </c>
      <c r="B29" t="s">
        <v>83</v>
      </c>
      <c r="C29">
        <v>1.5</v>
      </c>
      <c r="D29" s="16"/>
      <c r="E29">
        <v>1</v>
      </c>
      <c r="F29" s="19" t="s">
        <v>171</v>
      </c>
      <c r="G29">
        <v>2152</v>
      </c>
      <c r="H29" s="5">
        <f t="shared" si="0"/>
        <v>0.59230162710710699</v>
      </c>
    </row>
    <row r="30" spans="1:13">
      <c r="A30" t="s">
        <v>26</v>
      </c>
      <c r="B30" t="s">
        <v>83</v>
      </c>
      <c r="C30">
        <v>1.5</v>
      </c>
      <c r="D30" s="16" t="s">
        <v>155</v>
      </c>
      <c r="E30">
        <v>1.1000000000000001</v>
      </c>
      <c r="F30" s="19"/>
      <c r="G30">
        <v>4782</v>
      </c>
      <c r="H30" s="5">
        <f t="shared" si="0"/>
        <v>1.3161646751051048</v>
      </c>
      <c r="J30" t="s">
        <v>272</v>
      </c>
      <c r="K30">
        <f>0.5+0+0+1+((H30-C30)/E30)</f>
        <v>1.3328769773682771</v>
      </c>
      <c r="L30" s="19" t="s">
        <v>293</v>
      </c>
      <c r="M30">
        <v>0.82499999999999996</v>
      </c>
    </row>
    <row r="31" spans="1:13">
      <c r="A31" t="s">
        <v>27</v>
      </c>
      <c r="B31" t="s">
        <v>83</v>
      </c>
      <c r="C31">
        <v>1.5</v>
      </c>
      <c r="D31" s="16"/>
      <c r="E31">
        <v>0.7</v>
      </c>
      <c r="F31" s="19"/>
      <c r="G31">
        <v>7584</v>
      </c>
      <c r="H31" s="5">
        <f t="shared" si="0"/>
        <v>2.0873678159759756</v>
      </c>
      <c r="M31">
        <v>0.5</v>
      </c>
    </row>
    <row r="32" spans="1:13">
      <c r="A32" t="s">
        <v>28</v>
      </c>
      <c r="B32" t="s">
        <v>83</v>
      </c>
      <c r="C32">
        <v>0.128</v>
      </c>
      <c r="D32" s="16" t="s">
        <v>155</v>
      </c>
      <c r="E32">
        <v>1.7</v>
      </c>
      <c r="F32" s="19"/>
      <c r="G32">
        <v>17939</v>
      </c>
      <c r="H32" s="5">
        <f t="shared" si="0"/>
        <v>4.9374065467817809</v>
      </c>
      <c r="J32" t="s">
        <v>217</v>
      </c>
      <c r="K32">
        <f>0.5+3+0+1+((H32-C32)/E32)</f>
        <v>7.3290626745775178</v>
      </c>
      <c r="L32" s="19" t="s">
        <v>293</v>
      </c>
      <c r="M32">
        <v>0.75</v>
      </c>
    </row>
    <row r="33" spans="1:13">
      <c r="A33" t="s">
        <v>29</v>
      </c>
      <c r="B33" t="s">
        <v>83</v>
      </c>
      <c r="C33">
        <v>1.5</v>
      </c>
      <c r="D33" s="16"/>
      <c r="E33">
        <v>1.65</v>
      </c>
      <c r="F33" s="19" t="s">
        <v>136</v>
      </c>
      <c r="G33">
        <v>11303</v>
      </c>
      <c r="H33" s="5">
        <f t="shared" si="0"/>
        <v>3.110959707802802</v>
      </c>
      <c r="J33" t="s">
        <v>217</v>
      </c>
      <c r="K33">
        <f>0+3+1+1+((H33-C33)/E33)</f>
        <v>5.9763392168501834</v>
      </c>
      <c r="L33" s="19" t="s">
        <v>293</v>
      </c>
    </row>
    <row r="34" spans="1:13">
      <c r="A34" t="s">
        <v>30</v>
      </c>
      <c r="B34" s="17" t="s">
        <v>166</v>
      </c>
      <c r="C34" s="17">
        <v>6</v>
      </c>
      <c r="D34" s="16" t="s">
        <v>155</v>
      </c>
      <c r="E34">
        <v>6</v>
      </c>
      <c r="F34" s="19" t="s">
        <v>187</v>
      </c>
      <c r="G34">
        <v>169682</v>
      </c>
      <c r="H34" s="5">
        <f t="shared" si="0"/>
        <v>46.702102551481474</v>
      </c>
      <c r="J34" t="s">
        <v>217</v>
      </c>
      <c r="K34">
        <f>0.5+2+1+1+((H34-C34)/E34)</f>
        <v>11.283683758580246</v>
      </c>
      <c r="L34" s="19" t="s">
        <v>299</v>
      </c>
      <c r="M34">
        <v>0.5</v>
      </c>
    </row>
    <row r="35" spans="1:13">
      <c r="A35" t="s">
        <v>31</v>
      </c>
      <c r="B35" t="s">
        <v>79</v>
      </c>
      <c r="C35">
        <v>3</v>
      </c>
      <c r="D35" s="16" t="s">
        <v>155</v>
      </c>
      <c r="E35">
        <f>1.2+1.1</f>
        <v>2.2999999999999998</v>
      </c>
      <c r="F35" s="19"/>
      <c r="G35">
        <v>3537</v>
      </c>
      <c r="H35" s="5">
        <f t="shared" si="0"/>
        <v>0.97349946797297293</v>
      </c>
    </row>
    <row r="36" spans="1:13" ht="15" customHeight="1">
      <c r="A36" t="s">
        <v>32</v>
      </c>
      <c r="B36" t="s">
        <v>79</v>
      </c>
      <c r="C36">
        <v>3</v>
      </c>
      <c r="E36">
        <f>1.8+1.7</f>
        <v>3.5</v>
      </c>
      <c r="F36" s="19" t="s">
        <v>178</v>
      </c>
      <c r="G36">
        <v>15417</v>
      </c>
      <c r="H36" s="5">
        <f t="shared" si="0"/>
        <v>4.2432686733783784</v>
      </c>
      <c r="J36" t="s">
        <v>217</v>
      </c>
      <c r="K36">
        <f>0+3+1+2+((H36-C36)/E36)</f>
        <v>6.3552196209652507</v>
      </c>
      <c r="L36" s="19" t="s">
        <v>296</v>
      </c>
    </row>
    <row r="37" spans="1:13">
      <c r="A37" t="s">
        <v>33</v>
      </c>
      <c r="B37" t="s">
        <v>82</v>
      </c>
      <c r="C37">
        <v>100</v>
      </c>
      <c r="E37">
        <v>1.8</v>
      </c>
      <c r="F37" s="19"/>
      <c r="G37">
        <v>7311</v>
      </c>
      <c r="H37" s="5">
        <f t="shared" si="0"/>
        <v>2.0122291801951953</v>
      </c>
    </row>
    <row r="38" spans="1:13">
      <c r="A38" t="s">
        <v>34</v>
      </c>
      <c r="B38" t="s">
        <v>78</v>
      </c>
      <c r="C38">
        <v>100</v>
      </c>
      <c r="E38" s="18" t="s">
        <v>133</v>
      </c>
      <c r="F38" s="19"/>
      <c r="G38">
        <v>1709</v>
      </c>
      <c r="H38" s="5">
        <f t="shared" si="0"/>
        <v>0.47037336464964957</v>
      </c>
    </row>
    <row r="39" spans="1:13">
      <c r="A39" t="s">
        <v>35</v>
      </c>
      <c r="B39" t="s">
        <v>87</v>
      </c>
      <c r="C39">
        <v>10</v>
      </c>
      <c r="E39">
        <f>1+1.9</f>
        <v>2.9</v>
      </c>
      <c r="F39" s="19"/>
      <c r="G39">
        <v>1030</v>
      </c>
      <c r="H39" s="5">
        <f t="shared" si="0"/>
        <v>0.283490091041041</v>
      </c>
    </row>
    <row r="40" spans="1:13" ht="16.5" customHeight="1">
      <c r="A40" t="s">
        <v>36</v>
      </c>
      <c r="B40" t="s">
        <v>79</v>
      </c>
      <c r="C40">
        <v>3</v>
      </c>
      <c r="E40">
        <v>1.7</v>
      </c>
      <c r="F40" s="19" t="s">
        <v>178</v>
      </c>
      <c r="G40">
        <v>30626</v>
      </c>
      <c r="H40" s="5">
        <f t="shared" si="0"/>
        <v>8.429288862352351</v>
      </c>
      <c r="J40" t="s">
        <v>272</v>
      </c>
      <c r="K40">
        <f>0+0+1+1+((H40-C40)/E40)</f>
        <v>5.1936993307955008</v>
      </c>
      <c r="L40" s="19" t="s">
        <v>296</v>
      </c>
    </row>
    <row r="41" spans="1:13" ht="26.25" customHeight="1">
      <c r="A41" t="s">
        <v>37</v>
      </c>
      <c r="B41" t="s">
        <v>83</v>
      </c>
      <c r="C41">
        <v>1.5</v>
      </c>
      <c r="E41">
        <v>1.2</v>
      </c>
      <c r="F41" s="19"/>
      <c r="G41">
        <v>60661</v>
      </c>
      <c r="H41" s="5">
        <f t="shared" si="0"/>
        <v>16.695914963728725</v>
      </c>
      <c r="I41" t="s">
        <v>159</v>
      </c>
      <c r="J41" t="s">
        <v>272</v>
      </c>
      <c r="K41">
        <f>0+1+0+1+((H41-C41)/E41)</f>
        <v>14.663262469773938</v>
      </c>
      <c r="L41" s="19" t="s">
        <v>302</v>
      </c>
    </row>
    <row r="42" spans="1:13">
      <c r="A42" t="s">
        <v>38</v>
      </c>
      <c r="B42" t="s">
        <v>78</v>
      </c>
      <c r="C42">
        <v>100</v>
      </c>
      <c r="E42" s="18" t="s">
        <v>133</v>
      </c>
      <c r="F42" s="19"/>
      <c r="G42">
        <v>31802</v>
      </c>
      <c r="H42" s="5">
        <f t="shared" si="0"/>
        <v>8.7529629857157136</v>
      </c>
      <c r="M42">
        <v>0.25</v>
      </c>
    </row>
    <row r="43" spans="1:13">
      <c r="A43" t="s">
        <v>39</v>
      </c>
      <c r="B43" t="s">
        <v>80</v>
      </c>
      <c r="C43">
        <v>0.51200000000000001</v>
      </c>
      <c r="E43">
        <v>2.2999999999999998</v>
      </c>
      <c r="F43" s="19"/>
      <c r="G43">
        <v>6253</v>
      </c>
      <c r="H43" s="5">
        <f t="shared" si="0"/>
        <v>1.7210325624074072</v>
      </c>
      <c r="M43">
        <v>0.625</v>
      </c>
    </row>
    <row r="44" spans="1:13">
      <c r="A44" t="s">
        <v>40</v>
      </c>
      <c r="B44" t="s">
        <v>83</v>
      </c>
      <c r="C44">
        <v>1.5</v>
      </c>
      <c r="E44">
        <v>1.4</v>
      </c>
      <c r="F44" s="19"/>
      <c r="G44">
        <v>1321</v>
      </c>
      <c r="H44" s="5">
        <f t="shared" si="0"/>
        <v>0.36358292258758756</v>
      </c>
    </row>
    <row r="45" spans="1:13">
      <c r="A45" t="s">
        <v>41</v>
      </c>
      <c r="B45" t="s">
        <v>83</v>
      </c>
      <c r="C45">
        <v>5</v>
      </c>
      <c r="E45" s="18" t="s">
        <v>133</v>
      </c>
      <c r="F45" s="19"/>
      <c r="G45">
        <v>3439</v>
      </c>
      <c r="H45" s="5">
        <f t="shared" si="0"/>
        <v>0.94652662435935919</v>
      </c>
    </row>
    <row r="46" spans="1:13">
      <c r="A46" t="s">
        <v>42</v>
      </c>
      <c r="B46" s="17" t="s">
        <v>166</v>
      </c>
      <c r="C46" s="17">
        <v>6</v>
      </c>
      <c r="E46">
        <v>4</v>
      </c>
      <c r="F46" s="19"/>
      <c r="G46">
        <v>38250</v>
      </c>
      <c r="H46" s="5">
        <f t="shared" si="0"/>
        <v>10.52766600225225</v>
      </c>
      <c r="I46" t="s">
        <v>277</v>
      </c>
      <c r="J46" t="s">
        <v>272</v>
      </c>
      <c r="K46">
        <f>0+0+0+1+((H46-C46)/E46)</f>
        <v>2.1319165005630625</v>
      </c>
      <c r="L46" s="19" t="s">
        <v>298</v>
      </c>
      <c r="M46">
        <v>0.75</v>
      </c>
    </row>
    <row r="47" spans="1:13">
      <c r="A47" t="s">
        <v>43</v>
      </c>
      <c r="B47" t="s">
        <v>79</v>
      </c>
      <c r="C47">
        <v>3</v>
      </c>
      <c r="E47">
        <f>1.9+2.05</f>
        <v>3.9499999999999997</v>
      </c>
      <c r="F47" s="19" t="s">
        <v>179</v>
      </c>
      <c r="G47">
        <v>39319</v>
      </c>
      <c r="H47" s="5">
        <f t="shared" si="0"/>
        <v>10.821890184119118</v>
      </c>
      <c r="J47" t="s">
        <v>217</v>
      </c>
      <c r="K47">
        <f>0+3+1+1+((H47-C47)/E47)</f>
        <v>6.980225363068131</v>
      </c>
      <c r="L47" s="19" t="s">
        <v>303</v>
      </c>
    </row>
    <row r="48" spans="1:13" ht="17.25" customHeight="1">
      <c r="A48" t="s">
        <v>44</v>
      </c>
      <c r="B48" t="s">
        <v>79</v>
      </c>
      <c r="C48">
        <v>3</v>
      </c>
      <c r="E48">
        <f>1+1.5</f>
        <v>2.5</v>
      </c>
      <c r="F48" s="19" t="s">
        <v>136</v>
      </c>
      <c r="G48">
        <v>16790</v>
      </c>
      <c r="H48" s="5">
        <f t="shared" si="0"/>
        <v>4.6211637170670663</v>
      </c>
      <c r="J48" t="s">
        <v>272</v>
      </c>
      <c r="K48">
        <f>0+0+1+1+((H48-C48)/E48)</f>
        <v>2.6484654868268267</v>
      </c>
      <c r="L48" s="19" t="s">
        <v>296</v>
      </c>
    </row>
    <row r="49" spans="1:13">
      <c r="A49" t="s">
        <v>45</v>
      </c>
      <c r="B49" t="s">
        <v>89</v>
      </c>
      <c r="C49">
        <v>6</v>
      </c>
      <c r="E49">
        <v>1</v>
      </c>
      <c r="F49" s="19"/>
      <c r="G49">
        <v>9266</v>
      </c>
      <c r="H49" s="5">
        <f t="shared" si="0"/>
        <v>2.5503098869769767</v>
      </c>
    </row>
    <row r="50" spans="1:13">
      <c r="A50" t="s">
        <v>46</v>
      </c>
      <c r="B50" t="s">
        <v>83</v>
      </c>
      <c r="C50">
        <v>1.5</v>
      </c>
      <c r="E50">
        <v>0.6</v>
      </c>
      <c r="F50" s="19"/>
      <c r="G50">
        <v>10435</v>
      </c>
      <c r="H50" s="5">
        <f t="shared" si="0"/>
        <v>2.8720573786536532</v>
      </c>
      <c r="M50">
        <v>0.72499999999999998</v>
      </c>
    </row>
    <row r="51" spans="1:13">
      <c r="A51" t="s">
        <v>47</v>
      </c>
      <c r="B51" t="s">
        <v>83</v>
      </c>
      <c r="C51">
        <v>1.5</v>
      </c>
      <c r="D51" s="16" t="s">
        <v>155</v>
      </c>
      <c r="E51">
        <v>0.1</v>
      </c>
      <c r="F51" s="19"/>
      <c r="G51">
        <v>30858</v>
      </c>
      <c r="H51" s="5">
        <f t="shared" si="0"/>
        <v>8.4931429411111115</v>
      </c>
    </row>
    <row r="52" spans="1:13">
      <c r="A52" t="s">
        <v>48</v>
      </c>
      <c r="B52" t="s">
        <v>83</v>
      </c>
      <c r="C52">
        <v>1.5</v>
      </c>
      <c r="D52" s="16" t="s">
        <v>155</v>
      </c>
      <c r="E52">
        <v>1.6</v>
      </c>
      <c r="F52" s="19"/>
      <c r="G52">
        <v>6916</v>
      </c>
      <c r="H52" s="5">
        <f t="shared" si="0"/>
        <v>1.903512106446446</v>
      </c>
      <c r="J52" t="s">
        <v>217</v>
      </c>
      <c r="K52">
        <f>1+3+0+2+((H52-C52)/E52)</f>
        <v>6.2521950665290289</v>
      </c>
      <c r="L52" s="19" t="s">
        <v>293</v>
      </c>
      <c r="M52">
        <v>0.82699999999999996</v>
      </c>
    </row>
    <row r="53" spans="1:13">
      <c r="A53" t="s">
        <v>49</v>
      </c>
      <c r="B53" t="s">
        <v>82</v>
      </c>
      <c r="C53">
        <v>100</v>
      </c>
      <c r="D53" s="16"/>
      <c r="E53">
        <v>25</v>
      </c>
      <c r="F53" s="19" t="s">
        <v>136</v>
      </c>
      <c r="G53">
        <v>156905</v>
      </c>
      <c r="H53" s="5">
        <f t="shared" si="0"/>
        <v>43.18544925708207</v>
      </c>
      <c r="M53">
        <v>0.75</v>
      </c>
    </row>
    <row r="54" spans="1:13">
      <c r="A54" t="s">
        <v>50</v>
      </c>
      <c r="B54" t="s">
        <v>80</v>
      </c>
      <c r="C54">
        <v>9</v>
      </c>
      <c r="D54" s="16"/>
      <c r="E54">
        <v>7.5</v>
      </c>
      <c r="F54" s="19" t="s">
        <v>182</v>
      </c>
      <c r="G54">
        <v>37744</v>
      </c>
      <c r="H54" s="5">
        <f t="shared" si="0"/>
        <v>10.388398054614612</v>
      </c>
      <c r="J54" t="s">
        <v>272</v>
      </c>
      <c r="K54">
        <f>0+1+1+1+((H54-C54)/C54)</f>
        <v>3.1542664505127345</v>
      </c>
      <c r="L54" s="19" t="s">
        <v>299</v>
      </c>
      <c r="M54">
        <v>0.7</v>
      </c>
    </row>
    <row r="55" spans="1:13">
      <c r="A55" t="s">
        <v>51</v>
      </c>
      <c r="B55" t="s">
        <v>80</v>
      </c>
      <c r="C55">
        <v>44.2</v>
      </c>
      <c r="D55" s="16" t="s">
        <v>155</v>
      </c>
      <c r="E55">
        <v>11</v>
      </c>
      <c r="F55" s="19"/>
      <c r="G55">
        <v>159862</v>
      </c>
      <c r="H55" s="5">
        <f t="shared" si="0"/>
        <v>43.999313528158154</v>
      </c>
      <c r="M55">
        <v>0.6</v>
      </c>
    </row>
    <row r="56" spans="1:13">
      <c r="A56" t="s">
        <v>52</v>
      </c>
      <c r="B56" s="17" t="s">
        <v>166</v>
      </c>
      <c r="C56" s="17">
        <v>6</v>
      </c>
      <c r="D56" s="16"/>
      <c r="E56">
        <v>5</v>
      </c>
      <c r="F56" s="19" t="s">
        <v>187</v>
      </c>
      <c r="G56">
        <v>52632</v>
      </c>
      <c r="H56" s="5">
        <f t="shared" si="0"/>
        <v>14.486068419099098</v>
      </c>
      <c r="J56" t="s">
        <v>217</v>
      </c>
      <c r="K56">
        <f>0+1+1+1+((H56-C56)/E56)</f>
        <v>4.69721368381982</v>
      </c>
      <c r="L56" s="19" t="s">
        <v>299</v>
      </c>
    </row>
    <row r="57" spans="1:13">
      <c r="A57" t="s">
        <v>53</v>
      </c>
      <c r="B57" s="17" t="s">
        <v>166</v>
      </c>
      <c r="C57" s="17">
        <v>9</v>
      </c>
      <c r="D57" s="16" t="s">
        <v>155</v>
      </c>
      <c r="E57">
        <v>9</v>
      </c>
      <c r="F57" s="19" t="s">
        <v>187</v>
      </c>
      <c r="G57">
        <v>114251</v>
      </c>
      <c r="H57" s="5">
        <f t="shared" si="0"/>
        <v>31.445656690805802</v>
      </c>
      <c r="J57" t="s">
        <v>217</v>
      </c>
      <c r="K57">
        <f>0.5+2+1+1+((H57-C57)/E57)</f>
        <v>6.9939618545339783</v>
      </c>
      <c r="L57" s="19" t="s">
        <v>294</v>
      </c>
    </row>
    <row r="58" spans="1:13">
      <c r="A58" t="s">
        <v>54</v>
      </c>
      <c r="B58" s="17" t="s">
        <v>166</v>
      </c>
      <c r="C58" s="17">
        <v>6</v>
      </c>
      <c r="D58" s="16"/>
      <c r="E58">
        <v>3.5</v>
      </c>
      <c r="F58" s="19"/>
      <c r="G58">
        <v>81163</v>
      </c>
      <c r="H58" s="5">
        <f t="shared" si="0"/>
        <v>22.338743940935931</v>
      </c>
      <c r="I58" t="s">
        <v>160</v>
      </c>
    </row>
    <row r="59" spans="1:13">
      <c r="A59" t="s">
        <v>55</v>
      </c>
      <c r="B59" t="s">
        <v>80</v>
      </c>
      <c r="C59">
        <v>6.4000000000000001E-2</v>
      </c>
      <c r="D59" s="16" t="s">
        <v>155</v>
      </c>
      <c r="E59">
        <v>3.95</v>
      </c>
      <c r="F59" s="19"/>
      <c r="G59">
        <v>12629</v>
      </c>
      <c r="H59" s="5">
        <f t="shared" si="0"/>
        <v>3.4759187958808795</v>
      </c>
      <c r="J59" t="s">
        <v>217</v>
      </c>
      <c r="K59">
        <f>0.5+3+0+0+((H59-C59)/E59)</f>
        <v>4.36377691034959</v>
      </c>
      <c r="L59" s="19" t="s">
        <v>300</v>
      </c>
    </row>
    <row r="60" spans="1:13" ht="17.25" customHeight="1">
      <c r="A60" t="s">
        <v>56</v>
      </c>
      <c r="B60" t="s">
        <v>79</v>
      </c>
      <c r="C60">
        <v>3</v>
      </c>
      <c r="D60" s="16" t="s">
        <v>155</v>
      </c>
      <c r="E60">
        <f>1.25+1</f>
        <v>2.25</v>
      </c>
      <c r="F60" s="19" t="s">
        <v>178</v>
      </c>
      <c r="G60">
        <v>20918</v>
      </c>
      <c r="H60" s="5">
        <f t="shared" si="0"/>
        <v>5.7573259460160155</v>
      </c>
      <c r="J60" t="s">
        <v>272</v>
      </c>
      <c r="K60">
        <f>0.5+0+1+1+((H60-C60)/E60)</f>
        <v>3.7254781982293403</v>
      </c>
      <c r="L60" s="19" t="s">
        <v>304</v>
      </c>
    </row>
    <row r="61" spans="1:13">
      <c r="A61" t="s">
        <v>57</v>
      </c>
      <c r="B61" t="s">
        <v>80</v>
      </c>
      <c r="C61">
        <v>4</v>
      </c>
      <c r="D61" s="16" t="s">
        <v>155</v>
      </c>
      <c r="E61">
        <f>6+0.1</f>
        <v>6.1</v>
      </c>
      <c r="F61" s="19"/>
      <c r="G61">
        <v>30552</v>
      </c>
      <c r="H61" s="5">
        <f t="shared" si="0"/>
        <v>8.4089216130930922</v>
      </c>
      <c r="J61" t="s">
        <v>217</v>
      </c>
      <c r="K61">
        <f>0.5+3+0+1+((H61-C61)/E61)</f>
        <v>5.2227740349332938</v>
      </c>
      <c r="L61" s="19" t="s">
        <v>299</v>
      </c>
    </row>
    <row r="62" spans="1:13">
      <c r="A62" t="s">
        <v>58</v>
      </c>
      <c r="B62" t="s">
        <v>80</v>
      </c>
      <c r="C62">
        <v>3</v>
      </c>
      <c r="D62" s="16"/>
      <c r="E62">
        <f>1+2</f>
        <v>3</v>
      </c>
      <c r="F62" s="19" t="s">
        <v>186</v>
      </c>
      <c r="G62">
        <v>23228</v>
      </c>
      <c r="H62" s="5">
        <f t="shared" si="0"/>
        <v>6.3931144026226212</v>
      </c>
      <c r="J62" t="s">
        <v>217</v>
      </c>
      <c r="K62">
        <f>0+2+1+1+((H62-C62)/E62)</f>
        <v>5.1310381342075404</v>
      </c>
      <c r="L62" s="19" t="s">
        <v>298</v>
      </c>
      <c r="M62">
        <v>0.65</v>
      </c>
    </row>
    <row r="63" spans="1:13">
      <c r="A63" t="s">
        <v>59</v>
      </c>
      <c r="B63" s="17" t="s">
        <v>166</v>
      </c>
      <c r="C63" s="17">
        <v>9</v>
      </c>
      <c r="D63" s="16"/>
      <c r="E63">
        <v>8</v>
      </c>
      <c r="F63" s="19" t="s">
        <v>187</v>
      </c>
      <c r="G63">
        <v>37048</v>
      </c>
      <c r="H63" s="5">
        <f t="shared" si="0"/>
        <v>10.196835818338338</v>
      </c>
      <c r="J63" t="s">
        <v>217</v>
      </c>
      <c r="K63">
        <f>0+1+1+1+((H63-C63)/E63)</f>
        <v>3.149604477292292</v>
      </c>
      <c r="L63" s="19" t="s">
        <v>298</v>
      </c>
    </row>
    <row r="64" spans="1:13">
      <c r="A64" t="s">
        <v>60</v>
      </c>
      <c r="B64" t="s">
        <v>80</v>
      </c>
      <c r="C64">
        <v>9</v>
      </c>
      <c r="D64" s="16"/>
      <c r="E64">
        <v>7.5</v>
      </c>
      <c r="F64" s="19" t="s">
        <v>182</v>
      </c>
      <c r="G64">
        <v>62718</v>
      </c>
      <c r="H64" s="5">
        <f t="shared" si="0"/>
        <v>17.262069446516513</v>
      </c>
      <c r="J64" t="s">
        <v>217</v>
      </c>
      <c r="K64">
        <f>0+1+1+1+((H64-C64)/E64)</f>
        <v>4.1016092595355351</v>
      </c>
      <c r="L64" s="19" t="s">
        <v>301</v>
      </c>
      <c r="M64">
        <v>0.65</v>
      </c>
    </row>
    <row r="65" spans="1:14">
      <c r="A65" t="s">
        <v>61</v>
      </c>
      <c r="B65" t="s">
        <v>83</v>
      </c>
      <c r="C65">
        <v>1.5</v>
      </c>
      <c r="D65" s="16"/>
      <c r="E65">
        <v>1.3</v>
      </c>
      <c r="F65" s="19"/>
      <c r="G65">
        <v>6378</v>
      </c>
      <c r="H65" s="5">
        <f t="shared" si="0"/>
        <v>1.7554366996696693</v>
      </c>
      <c r="J65" t="s">
        <v>272</v>
      </c>
      <c r="K65">
        <f>0+1+0+1+((H65-C65)/E65)</f>
        <v>2.1964897689766687</v>
      </c>
      <c r="L65" s="19" t="s">
        <v>293</v>
      </c>
      <c r="M65">
        <v>0.8</v>
      </c>
    </row>
    <row r="66" spans="1:14">
      <c r="A66" t="s">
        <v>62</v>
      </c>
      <c r="B66" t="s">
        <v>83</v>
      </c>
      <c r="C66">
        <v>1.5</v>
      </c>
      <c r="D66" s="16"/>
      <c r="E66">
        <v>1.3</v>
      </c>
      <c r="F66" s="19" t="s">
        <v>171</v>
      </c>
      <c r="G66">
        <v>5797</v>
      </c>
      <c r="H66" s="5">
        <f t="shared" si="0"/>
        <v>1.5955262696746744</v>
      </c>
      <c r="J66" t="s">
        <v>217</v>
      </c>
      <c r="K66">
        <f>0+1+1+2+((H66-C66)/E66)</f>
        <v>4.0734817459035959</v>
      </c>
      <c r="L66" s="19" t="s">
        <v>293</v>
      </c>
      <c r="M66">
        <v>0.72499999999999998</v>
      </c>
    </row>
    <row r="67" spans="1:14">
      <c r="A67" t="s">
        <v>63</v>
      </c>
      <c r="B67" t="s">
        <v>83</v>
      </c>
      <c r="C67">
        <v>1.5</v>
      </c>
      <c r="D67" s="16"/>
      <c r="E67">
        <v>1.5</v>
      </c>
      <c r="F67" s="19"/>
      <c r="G67">
        <v>3629</v>
      </c>
      <c r="H67" s="5">
        <f t="shared" si="0"/>
        <v>0.99882091299799769</v>
      </c>
      <c r="M67">
        <v>0.25</v>
      </c>
    </row>
    <row r="68" spans="1:14">
      <c r="A68" t="s">
        <v>64</v>
      </c>
      <c r="B68" t="s">
        <v>83</v>
      </c>
      <c r="C68">
        <v>1.5</v>
      </c>
      <c r="D68" s="16"/>
      <c r="E68">
        <v>1.5</v>
      </c>
      <c r="F68" s="19"/>
      <c r="G68">
        <v>2130</v>
      </c>
      <c r="H68" s="5">
        <f t="shared" si="0"/>
        <v>0.58624649894894887</v>
      </c>
    </row>
    <row r="69" spans="1:14">
      <c r="A69" t="s">
        <v>65</v>
      </c>
      <c r="B69" t="s">
        <v>82</v>
      </c>
      <c r="C69">
        <v>100</v>
      </c>
      <c r="D69" s="16"/>
      <c r="E69">
        <v>12.5</v>
      </c>
      <c r="F69" s="19"/>
      <c r="G69">
        <v>62339</v>
      </c>
      <c r="H69" s="5">
        <f t="shared" si="0"/>
        <v>17.157756102337334</v>
      </c>
    </row>
    <row r="70" spans="1:14">
      <c r="A70" t="s">
        <v>66</v>
      </c>
      <c r="B70" t="s">
        <v>78</v>
      </c>
      <c r="C70">
        <v>100</v>
      </c>
      <c r="D70" s="16" t="s">
        <v>155</v>
      </c>
      <c r="E70" t="s">
        <v>133</v>
      </c>
      <c r="F70" s="19"/>
      <c r="G70">
        <v>4680</v>
      </c>
      <c r="H70" s="5">
        <f t="shared" si="0"/>
        <v>1.2880908990990989</v>
      </c>
    </row>
    <row r="71" spans="1:14">
      <c r="A71" t="s">
        <v>67</v>
      </c>
      <c r="B71" t="s">
        <v>83</v>
      </c>
      <c r="C71">
        <v>1.5</v>
      </c>
      <c r="D71" s="16"/>
      <c r="E71">
        <v>1.5</v>
      </c>
      <c r="F71" s="19" t="s">
        <v>183</v>
      </c>
      <c r="G71">
        <v>5968</v>
      </c>
      <c r="H71" s="5">
        <f t="shared" si="0"/>
        <v>1.6425911294494491</v>
      </c>
      <c r="J71" t="s">
        <v>217</v>
      </c>
      <c r="K71">
        <f>0+2+1+2+((H71-C71)/E71)</f>
        <v>5.0950607529662992</v>
      </c>
      <c r="L71" s="19" t="s">
        <v>293</v>
      </c>
      <c r="M71">
        <v>0.9</v>
      </c>
    </row>
    <row r="72" spans="1:14">
      <c r="A72" t="s">
        <v>68</v>
      </c>
      <c r="B72" t="s">
        <v>83</v>
      </c>
      <c r="C72">
        <v>1.5</v>
      </c>
      <c r="D72" s="16" t="s">
        <v>155</v>
      </c>
      <c r="E72">
        <v>1.35</v>
      </c>
      <c r="F72" s="19"/>
      <c r="G72">
        <v>3373</v>
      </c>
      <c r="H72" s="5">
        <f t="shared" si="0"/>
        <v>0.92836123988488461</v>
      </c>
      <c r="J72" t="s">
        <v>272</v>
      </c>
      <c r="K72">
        <f>0.5+1+0+0+((H72-C72)/E72)</f>
        <v>1.0765638813962108</v>
      </c>
      <c r="L72" s="19" t="s">
        <v>293</v>
      </c>
    </row>
    <row r="73" spans="1:14">
      <c r="A73" t="s">
        <v>69</v>
      </c>
      <c r="D73" s="16"/>
      <c r="F73" s="19"/>
      <c r="G73">
        <v>717</v>
      </c>
    </row>
    <row r="74" spans="1:14">
      <c r="A74" t="s">
        <v>70</v>
      </c>
      <c r="B74" t="s">
        <v>83</v>
      </c>
      <c r="D74" s="16"/>
      <c r="F74" s="19"/>
      <c r="G74">
        <v>419</v>
      </c>
    </row>
    <row r="75" spans="1:14">
      <c r="A75" t="s">
        <v>71</v>
      </c>
      <c r="D75" s="16"/>
      <c r="F75" s="19"/>
      <c r="G75">
        <v>478</v>
      </c>
    </row>
    <row r="76" spans="1:14">
      <c r="A76" t="s">
        <v>72</v>
      </c>
      <c r="D76" s="16"/>
      <c r="F76" s="19"/>
      <c r="G76">
        <v>1409</v>
      </c>
    </row>
    <row r="77" spans="1:14">
      <c r="A77" t="s">
        <v>73</v>
      </c>
      <c r="D77" s="16"/>
      <c r="F77" s="19"/>
      <c r="G77">
        <v>515</v>
      </c>
    </row>
    <row r="78" spans="1:14">
      <c r="A78" t="s">
        <v>74</v>
      </c>
      <c r="D78" s="16"/>
      <c r="F78" s="19"/>
      <c r="G78">
        <v>1197</v>
      </c>
    </row>
    <row r="79" spans="1:14">
      <c r="A79" t="s">
        <v>76</v>
      </c>
      <c r="D79" s="16"/>
      <c r="F79" s="19"/>
      <c r="G79">
        <f>SUM(G6:G78)</f>
        <v>2500161</v>
      </c>
      <c r="M79">
        <f>(SUM(M6:M72))/(67-COUNTBLANK(M6:M72))</f>
        <v>0.68340740740740735</v>
      </c>
      <c r="N79">
        <f>67-COUNTBLANK(M6:M72)</f>
        <v>27</v>
      </c>
    </row>
    <row r="80" spans="1:14">
      <c r="F80" s="19"/>
    </row>
    <row r="81" spans="1:12">
      <c r="A81" s="3" t="s">
        <v>85</v>
      </c>
      <c r="B81" s="3" t="s">
        <v>177</v>
      </c>
      <c r="F81" s="19"/>
    </row>
    <row r="82" spans="1:12">
      <c r="B82" t="s">
        <v>320</v>
      </c>
      <c r="F82" s="19"/>
    </row>
    <row r="83" spans="1:12">
      <c r="B83" s="3" t="s">
        <v>174</v>
      </c>
      <c r="F83" s="19"/>
    </row>
    <row r="84" spans="1:12">
      <c r="B84" t="s">
        <v>175</v>
      </c>
      <c r="F84" s="19"/>
    </row>
    <row r="85" spans="1:12">
      <c r="B85" s="3" t="s">
        <v>234</v>
      </c>
      <c r="F85" s="19"/>
    </row>
    <row r="86" spans="1:12">
      <c r="B86" s="3" t="s">
        <v>176</v>
      </c>
      <c r="F86" s="19"/>
    </row>
    <row r="87" spans="1:12" ht="31.5">
      <c r="A87" s="8" t="s">
        <v>119</v>
      </c>
      <c r="F87" s="19"/>
      <c r="G87" s="16" t="s">
        <v>194</v>
      </c>
      <c r="H87" s="5">
        <f>(((12)/(24))*0.75)*0.3721</f>
        <v>0.13953749999999998</v>
      </c>
    </row>
    <row r="88" spans="1:12" s="11" customFormat="1" ht="15">
      <c r="A88" s="20" t="s">
        <v>91</v>
      </c>
      <c r="B88" s="11" t="s">
        <v>80</v>
      </c>
      <c r="C88" s="11">
        <v>6</v>
      </c>
      <c r="E88" s="11">
        <v>7.5</v>
      </c>
      <c r="F88" s="21"/>
      <c r="G88" s="12">
        <v>26017</v>
      </c>
      <c r="H88" s="13">
        <f>((((G88/G$117)/6)*56000)/1000000)*H$87</f>
        <v>3.0445720629945905</v>
      </c>
      <c r="J88" s="11" t="s">
        <v>217</v>
      </c>
      <c r="K88" s="11">
        <f>0+3+0+0+((H88-C88)/E88)</f>
        <v>2.6059429417326121</v>
      </c>
      <c r="L88" s="21" t="s">
        <v>298</v>
      </c>
    </row>
    <row r="89" spans="1:12" s="11" customFormat="1" ht="15">
      <c r="A89" s="20" t="s">
        <v>92</v>
      </c>
      <c r="B89" s="11" t="s">
        <v>80</v>
      </c>
      <c r="C89" s="11">
        <v>6</v>
      </c>
      <c r="E89" s="11">
        <v>2</v>
      </c>
      <c r="F89" s="21" t="s">
        <v>136</v>
      </c>
      <c r="G89" s="14">
        <v>49090</v>
      </c>
      <c r="H89" s="13">
        <f>((((G89/G$117)/6)*56000)/1000000)*H$87</f>
        <v>5.7446301484569497</v>
      </c>
      <c r="L89" s="21"/>
    </row>
    <row r="90" spans="1:12" s="11" customFormat="1" ht="15">
      <c r="A90" s="20" t="s">
        <v>93</v>
      </c>
      <c r="B90" s="11" t="s">
        <v>156</v>
      </c>
      <c r="C90" s="11">
        <v>100</v>
      </c>
      <c r="E90" s="11" t="s">
        <v>157</v>
      </c>
      <c r="F90" s="21"/>
      <c r="G90" s="14">
        <v>17294</v>
      </c>
      <c r="H90" s="13">
        <f>((((G90/G$117)/6)*56000)/1000000)*H$87</f>
        <v>2.0237855731801688</v>
      </c>
      <c r="L90" s="21"/>
    </row>
    <row r="91" spans="1:12" s="11" customFormat="1" ht="15">
      <c r="A91" s="20" t="s">
        <v>94</v>
      </c>
      <c r="B91" s="11" t="s">
        <v>132</v>
      </c>
      <c r="C91" s="15">
        <v>100</v>
      </c>
      <c r="E91" s="11">
        <f>5+2.8</f>
        <v>7.8</v>
      </c>
      <c r="F91" s="21"/>
      <c r="G91" s="14">
        <v>5082</v>
      </c>
      <c r="H91" s="13">
        <f t="shared" ref="H91:H115" si="1">((((G91/G$117)/6)*56000)/1000000)*H$87</f>
        <v>0.59470789192214746</v>
      </c>
      <c r="L91" s="21"/>
    </row>
    <row r="92" spans="1:12" s="11" customFormat="1" ht="15">
      <c r="A92" s="20" t="s">
        <v>95</v>
      </c>
      <c r="B92" s="11" t="s">
        <v>80</v>
      </c>
      <c r="C92" s="11">
        <v>6</v>
      </c>
      <c r="E92" s="11">
        <v>5.2</v>
      </c>
      <c r="F92" s="21"/>
      <c r="G92" s="14">
        <v>29671</v>
      </c>
      <c r="H92" s="13">
        <f t="shared" si="1"/>
        <v>3.4721719522278698</v>
      </c>
      <c r="J92" s="11" t="s">
        <v>217</v>
      </c>
      <c r="K92" s="11">
        <f>0+1+0+0+((H92-C92)/E92)</f>
        <v>0.51387922158228272</v>
      </c>
      <c r="L92" s="21" t="s">
        <v>298</v>
      </c>
    </row>
    <row r="93" spans="1:12" s="11" customFormat="1" ht="15">
      <c r="A93" s="20" t="s">
        <v>96</v>
      </c>
      <c r="B93" s="11" t="s">
        <v>166</v>
      </c>
      <c r="C93" s="11">
        <v>6</v>
      </c>
      <c r="E93" s="15">
        <f>4.5+1.4</f>
        <v>5.9</v>
      </c>
      <c r="F93" s="21"/>
      <c r="G93" s="14">
        <v>19245</v>
      </c>
      <c r="H93" s="13">
        <f t="shared" si="1"/>
        <v>2.2520962967417804</v>
      </c>
      <c r="J93" s="11" t="s">
        <v>217</v>
      </c>
      <c r="K93" s="11">
        <f>0+1+0+0+((H93-C93)/E93)</f>
        <v>0.36476208419352218</v>
      </c>
      <c r="L93" s="21" t="s">
        <v>298</v>
      </c>
    </row>
    <row r="94" spans="1:12" s="11" customFormat="1" ht="15">
      <c r="A94" s="20" t="s">
        <v>97</v>
      </c>
      <c r="B94" s="11" t="s">
        <v>80</v>
      </c>
      <c r="C94" s="11">
        <v>6</v>
      </c>
      <c r="E94" s="11">
        <v>0.1</v>
      </c>
      <c r="F94" s="21"/>
      <c r="G94" s="14">
        <v>55349</v>
      </c>
      <c r="H94" s="13">
        <f t="shared" si="1"/>
        <v>6.4770734179454816</v>
      </c>
      <c r="I94" s="11" t="s">
        <v>158</v>
      </c>
      <c r="L94" s="21"/>
    </row>
    <row r="95" spans="1:12" s="11" customFormat="1" ht="15">
      <c r="A95" s="20" t="s">
        <v>98</v>
      </c>
      <c r="B95" s="11" t="s">
        <v>80</v>
      </c>
      <c r="C95" s="11">
        <v>6</v>
      </c>
      <c r="E95" s="11">
        <v>3</v>
      </c>
      <c r="F95" s="21"/>
      <c r="G95" s="14">
        <v>3766</v>
      </c>
      <c r="H95" s="13">
        <f t="shared" si="1"/>
        <v>0.44070639924809274</v>
      </c>
      <c r="L95" s="21"/>
    </row>
    <row r="96" spans="1:12" s="11" customFormat="1" ht="15">
      <c r="A96" s="20" t="s">
        <v>99</v>
      </c>
      <c r="B96" s="11" t="s">
        <v>132</v>
      </c>
      <c r="C96" s="15">
        <v>6</v>
      </c>
      <c r="E96" s="11">
        <v>3.5</v>
      </c>
      <c r="F96" s="21"/>
      <c r="G96" s="14">
        <v>21634</v>
      </c>
      <c r="H96" s="13">
        <f t="shared" si="1"/>
        <v>2.5316628362541791</v>
      </c>
      <c r="L96" s="21"/>
    </row>
    <row r="97" spans="1:12" s="11" customFormat="1" ht="15">
      <c r="A97" s="20" t="s">
        <v>100</v>
      </c>
      <c r="B97" s="11" t="s">
        <v>166</v>
      </c>
      <c r="C97" s="15">
        <v>6</v>
      </c>
      <c r="E97" s="15">
        <v>5.2</v>
      </c>
      <c r="F97" s="21"/>
      <c r="G97" s="14">
        <v>44579</v>
      </c>
      <c r="H97" s="13">
        <f t="shared" si="1"/>
        <v>5.2167420531281792</v>
      </c>
      <c r="J97" s="11" t="s">
        <v>217</v>
      </c>
      <c r="K97" s="11">
        <f>0+1+0+2+((H97-C97)/E97)</f>
        <v>2.8493734717554191</v>
      </c>
      <c r="L97" s="21" t="s">
        <v>298</v>
      </c>
    </row>
    <row r="98" spans="1:12" s="11" customFormat="1" ht="15">
      <c r="A98" s="20" t="s">
        <v>101</v>
      </c>
      <c r="B98" s="11" t="s">
        <v>134</v>
      </c>
      <c r="E98" s="11">
        <v>0</v>
      </c>
      <c r="F98" s="21"/>
      <c r="G98" s="14">
        <v>40306</v>
      </c>
      <c r="H98" s="13">
        <f t="shared" si="1"/>
        <v>4.7167052915808885</v>
      </c>
      <c r="I98" s="11" t="s">
        <v>159</v>
      </c>
      <c r="L98" s="21"/>
    </row>
    <row r="99" spans="1:12" s="11" customFormat="1" ht="15">
      <c r="A99" s="20" t="s">
        <v>102</v>
      </c>
      <c r="B99" s="11" t="s">
        <v>80</v>
      </c>
      <c r="C99" s="11">
        <v>6</v>
      </c>
      <c r="E99" s="15">
        <v>5.5</v>
      </c>
      <c r="F99" s="21"/>
      <c r="G99" s="14">
        <v>5954</v>
      </c>
      <c r="H99" s="13">
        <f t="shared" si="1"/>
        <v>0.69675143418033569</v>
      </c>
      <c r="J99" s="11" t="s">
        <v>217</v>
      </c>
      <c r="K99" s="11">
        <f>0+1+0+0+((H99-C99)/E99)</f>
        <v>3.5772988032788389E-2</v>
      </c>
      <c r="L99" s="21" t="s">
        <v>298</v>
      </c>
    </row>
    <row r="100" spans="1:12" s="11" customFormat="1" ht="15">
      <c r="A100" s="20" t="s">
        <v>103</v>
      </c>
      <c r="B100" s="11" t="s">
        <v>134</v>
      </c>
      <c r="E100" s="15">
        <v>0</v>
      </c>
      <c r="F100" s="21"/>
      <c r="G100" s="14">
        <v>5946</v>
      </c>
      <c r="H100" s="13">
        <f t="shared" si="1"/>
        <v>0.69581525489356333</v>
      </c>
      <c r="I100" s="11" t="s">
        <v>288</v>
      </c>
      <c r="L100" s="21"/>
    </row>
    <row r="101" spans="1:12" s="11" customFormat="1" ht="15">
      <c r="A101" s="20" t="s">
        <v>104</v>
      </c>
      <c r="B101" s="11" t="s">
        <v>166</v>
      </c>
      <c r="C101" s="11">
        <v>6</v>
      </c>
      <c r="E101" s="11">
        <f>4.5+0.14</f>
        <v>4.6399999999999997</v>
      </c>
      <c r="F101" s="21"/>
      <c r="G101" s="14">
        <v>16359</v>
      </c>
      <c r="H101" s="13">
        <f t="shared" si="1"/>
        <v>1.9143696190386479</v>
      </c>
      <c r="J101" s="11" t="s">
        <v>272</v>
      </c>
      <c r="K101" s="11">
        <f>0+0+0+0+((H101-C101)/E101)</f>
        <v>-0.88052378900029149</v>
      </c>
      <c r="L101" s="21" t="s">
        <v>298</v>
      </c>
    </row>
    <row r="102" spans="1:12" s="11" customFormat="1" ht="15">
      <c r="A102" s="20" t="s">
        <v>105</v>
      </c>
      <c r="B102" s="11" t="s">
        <v>80</v>
      </c>
      <c r="C102" s="11">
        <v>6</v>
      </c>
      <c r="E102" s="11">
        <v>0.01</v>
      </c>
      <c r="F102" s="21"/>
      <c r="G102" s="14">
        <v>106888</v>
      </c>
      <c r="H102" s="13">
        <f t="shared" si="1"/>
        <v>12.508291450565622</v>
      </c>
      <c r="J102" s="15" t="s">
        <v>216</v>
      </c>
      <c r="L102" s="21" t="s">
        <v>274</v>
      </c>
    </row>
    <row r="103" spans="1:12" s="11" customFormat="1" ht="15">
      <c r="A103" s="20" t="s">
        <v>106</v>
      </c>
      <c r="B103" s="11" t="s">
        <v>80</v>
      </c>
      <c r="C103" s="15">
        <v>9</v>
      </c>
      <c r="E103" s="11">
        <v>1.7</v>
      </c>
      <c r="F103" s="21"/>
      <c r="G103" s="14">
        <v>3536</v>
      </c>
      <c r="H103" s="13">
        <f t="shared" si="1"/>
        <v>0.41379124475338719</v>
      </c>
      <c r="L103" s="21"/>
    </row>
    <row r="104" spans="1:12" s="11" customFormat="1" ht="15">
      <c r="A104" s="20" t="s">
        <v>107</v>
      </c>
      <c r="B104" s="11" t="s">
        <v>80</v>
      </c>
      <c r="C104" s="11">
        <v>6</v>
      </c>
      <c r="E104" s="11">
        <v>3</v>
      </c>
      <c r="F104" s="21"/>
      <c r="G104" s="14">
        <v>12660</v>
      </c>
      <c r="H104" s="13">
        <f t="shared" si="1"/>
        <v>1.4815037213172739</v>
      </c>
      <c r="L104" s="21"/>
    </row>
    <row r="105" spans="1:12" s="11" customFormat="1" ht="15">
      <c r="A105" s="20" t="s">
        <v>108</v>
      </c>
      <c r="B105" s="11" t="s">
        <v>80</v>
      </c>
      <c r="C105" s="11">
        <v>6</v>
      </c>
      <c r="E105" s="11">
        <v>0</v>
      </c>
      <c r="F105" s="21"/>
      <c r="G105" s="14">
        <v>38903</v>
      </c>
      <c r="H105" s="13">
        <f t="shared" si="1"/>
        <v>4.5525228491631848</v>
      </c>
      <c r="I105" s="11" t="s">
        <v>162</v>
      </c>
      <c r="L105" s="21"/>
    </row>
    <row r="106" spans="1:12" s="11" customFormat="1" ht="15">
      <c r="A106" s="20" t="s">
        <v>109</v>
      </c>
      <c r="B106" s="11" t="s">
        <v>166</v>
      </c>
      <c r="C106" s="11">
        <v>6</v>
      </c>
      <c r="E106" s="15">
        <v>5</v>
      </c>
      <c r="F106" s="21"/>
      <c r="G106" s="14">
        <v>10864</v>
      </c>
      <c r="H106" s="13">
        <f t="shared" si="1"/>
        <v>1.2713314714368771</v>
      </c>
      <c r="J106" s="11" t="s">
        <v>272</v>
      </c>
      <c r="K106" s="11">
        <f>0+1+0+0+((H106-C106)/E106)</f>
        <v>5.4266294287375394E-2</v>
      </c>
      <c r="L106" s="21" t="s">
        <v>298</v>
      </c>
    </row>
    <row r="107" spans="1:12" s="11" customFormat="1" ht="15">
      <c r="A107" s="20" t="s">
        <v>110</v>
      </c>
      <c r="B107" s="11" t="s">
        <v>80</v>
      </c>
      <c r="C107" s="11">
        <v>6</v>
      </c>
      <c r="E107" s="11">
        <v>5.5</v>
      </c>
      <c r="F107" s="21" t="s">
        <v>187</v>
      </c>
      <c r="G107" s="14">
        <v>22420</v>
      </c>
      <c r="H107" s="13">
        <f t="shared" si="1"/>
        <v>2.6236424511795646</v>
      </c>
      <c r="J107" s="11" t="s">
        <v>217</v>
      </c>
      <c r="K107" s="11">
        <f>0+1+1+0+((H107-C107)/E107)</f>
        <v>1.3861168093053755</v>
      </c>
      <c r="L107" s="21" t="s">
        <v>298</v>
      </c>
    </row>
    <row r="108" spans="1:12" s="11" customFormat="1" ht="15">
      <c r="A108" s="20" t="s">
        <v>111</v>
      </c>
      <c r="B108" s="11" t="s">
        <v>166</v>
      </c>
      <c r="C108" s="11">
        <v>6</v>
      </c>
      <c r="E108" s="15">
        <v>4.5</v>
      </c>
      <c r="F108" s="21"/>
      <c r="G108" s="14">
        <v>17336</v>
      </c>
      <c r="H108" s="13">
        <f t="shared" si="1"/>
        <v>2.028700514435724</v>
      </c>
      <c r="J108" s="11" t="s">
        <v>272</v>
      </c>
      <c r="K108" s="11">
        <f>0+0+0+0+((H108-C108)/E108)</f>
        <v>-0.88251099679206135</v>
      </c>
      <c r="L108" s="21" t="s">
        <v>298</v>
      </c>
    </row>
    <row r="109" spans="1:12" s="11" customFormat="1" ht="15">
      <c r="A109" s="20" t="s">
        <v>112</v>
      </c>
      <c r="B109" s="11" t="s">
        <v>80</v>
      </c>
      <c r="C109" s="11">
        <v>6</v>
      </c>
      <c r="E109" s="15">
        <f>1.4+0.5+0.5</f>
        <v>2.4</v>
      </c>
      <c r="F109" s="21"/>
      <c r="G109" s="14">
        <v>8723</v>
      </c>
      <c r="H109" s="13">
        <f t="shared" si="1"/>
        <v>1.0207864898144219</v>
      </c>
      <c r="L109" s="21"/>
    </row>
    <row r="110" spans="1:12" s="11" customFormat="1" ht="15">
      <c r="A110" s="20" t="s">
        <v>113</v>
      </c>
      <c r="B110" s="11" t="s">
        <v>166</v>
      </c>
      <c r="C110" s="11">
        <v>6</v>
      </c>
      <c r="E110" s="15">
        <v>2.8</v>
      </c>
      <c r="F110" s="21"/>
      <c r="G110" s="14">
        <v>49717</v>
      </c>
      <c r="H110" s="13">
        <f t="shared" si="1"/>
        <v>5.818003200057734</v>
      </c>
      <c r="L110" s="21"/>
    </row>
    <row r="111" spans="1:12" s="11" customFormat="1" ht="15">
      <c r="A111" s="20" t="s">
        <v>114</v>
      </c>
      <c r="B111" s="11" t="s">
        <v>132</v>
      </c>
      <c r="C111" s="15">
        <v>100</v>
      </c>
      <c r="E111" s="11">
        <f>13*0.5</f>
        <v>6.5</v>
      </c>
      <c r="F111" s="21"/>
      <c r="G111" s="14">
        <v>21437</v>
      </c>
      <c r="H111" s="13">
        <f t="shared" si="1"/>
        <v>2.5086094213174093</v>
      </c>
      <c r="L111" s="21"/>
    </row>
    <row r="112" spans="1:12" s="11" customFormat="1" ht="15">
      <c r="A112" s="20" t="s">
        <v>115</v>
      </c>
      <c r="B112" s="11" t="s">
        <v>80</v>
      </c>
      <c r="C112" s="11">
        <v>6</v>
      </c>
      <c r="E112" s="11">
        <v>1.7</v>
      </c>
      <c r="F112" s="21"/>
      <c r="G112" s="14">
        <v>22678</v>
      </c>
      <c r="H112" s="13">
        <f t="shared" si="1"/>
        <v>2.6538342331779732</v>
      </c>
      <c r="I112" s="11" t="s">
        <v>159</v>
      </c>
      <c r="L112" s="21"/>
    </row>
    <row r="113" spans="1:12" s="11" customFormat="1" ht="15">
      <c r="A113" s="20" t="s">
        <v>116</v>
      </c>
      <c r="B113" s="11" t="s">
        <v>80</v>
      </c>
      <c r="C113" s="11">
        <v>6</v>
      </c>
      <c r="E113" s="15">
        <v>1.5</v>
      </c>
      <c r="F113" s="21"/>
      <c r="G113" s="14">
        <v>8004</v>
      </c>
      <c r="H113" s="13">
        <f t="shared" si="1"/>
        <v>0.93664737641575535</v>
      </c>
      <c r="L113" s="21"/>
    </row>
    <row r="114" spans="1:12" s="11" customFormat="1" ht="15">
      <c r="A114" s="20" t="s">
        <v>117</v>
      </c>
      <c r="B114" s="11" t="s">
        <v>166</v>
      </c>
      <c r="C114" s="11">
        <v>6</v>
      </c>
      <c r="E114" s="11">
        <v>4</v>
      </c>
      <c r="F114" s="21"/>
      <c r="G114" s="14">
        <v>21873</v>
      </c>
      <c r="H114" s="13">
        <f t="shared" si="1"/>
        <v>2.5596311924465036</v>
      </c>
      <c r="J114" s="11" t="s">
        <v>272</v>
      </c>
      <c r="K114" s="11">
        <f>0+0+0+0+((H114-C114)/E114)</f>
        <v>-0.8600922018883741</v>
      </c>
      <c r="L114" s="21" t="s">
        <v>298</v>
      </c>
    </row>
    <row r="115" spans="1:12" s="11" customFormat="1" ht="15">
      <c r="A115" s="20" t="s">
        <v>118</v>
      </c>
      <c r="B115" s="11" t="s">
        <v>80</v>
      </c>
      <c r="C115" s="11">
        <v>6</v>
      </c>
      <c r="E115" s="11">
        <v>5</v>
      </c>
      <c r="F115" s="21"/>
      <c r="G115" s="14">
        <v>52526</v>
      </c>
      <c r="H115" s="13">
        <f t="shared" si="1"/>
        <v>6.1467191521256819</v>
      </c>
      <c r="I115" s="11" t="s">
        <v>276</v>
      </c>
      <c r="J115" s="11" t="s">
        <v>217</v>
      </c>
      <c r="K115" s="11">
        <f>0+1+0+1+((H115-C115)/E115)</f>
        <v>2.0293438304251366</v>
      </c>
      <c r="L115" s="21" t="s">
        <v>298</v>
      </c>
    </row>
    <row r="116" spans="1:12">
      <c r="A116" s="3" t="s">
        <v>120</v>
      </c>
      <c r="F116" s="19"/>
      <c r="G116" s="9">
        <f>SUM(G88:G115)</f>
        <v>737857</v>
      </c>
      <c r="H116" s="13" t="s">
        <v>173</v>
      </c>
    </row>
    <row r="117" spans="1:12">
      <c r="A117" s="3"/>
      <c r="F117" s="19" t="s">
        <v>193</v>
      </c>
      <c r="G117" s="9">
        <f>G116/66300</f>
        <v>11.129064856711915</v>
      </c>
    </row>
    <row r="118" spans="1:12">
      <c r="A118" s="32" t="s">
        <v>312</v>
      </c>
      <c r="F118" s="19"/>
    </row>
    <row r="119" spans="1:12">
      <c r="A119" s="3" t="s">
        <v>173</v>
      </c>
      <c r="B119" s="3" t="s">
        <v>313</v>
      </c>
      <c r="F119" s="19"/>
    </row>
    <row r="120" spans="1:12">
      <c r="B120" t="s">
        <v>321</v>
      </c>
      <c r="F120" s="19"/>
    </row>
    <row r="121" spans="1:12">
      <c r="B121" s="3" t="s">
        <v>314</v>
      </c>
      <c r="F121" s="19"/>
    </row>
    <row r="122" spans="1:12">
      <c r="B122" t="s">
        <v>175</v>
      </c>
      <c r="F122" s="19"/>
    </row>
    <row r="123" spans="1:12">
      <c r="B123" s="3" t="s">
        <v>315</v>
      </c>
      <c r="F123" s="19"/>
    </row>
    <row r="124" spans="1:12" ht="15.75">
      <c r="A124" s="7" t="s">
        <v>121</v>
      </c>
      <c r="F124" s="19"/>
      <c r="G124" s="16" t="s">
        <v>196</v>
      </c>
      <c r="H124" s="5">
        <f>(((18)/(24))*0.9)*0.4864</f>
        <v>0.32832</v>
      </c>
    </row>
    <row r="125" spans="1:12">
      <c r="A125" t="s">
        <v>123</v>
      </c>
      <c r="B125" t="s">
        <v>132</v>
      </c>
      <c r="C125">
        <v>100</v>
      </c>
      <c r="E125">
        <v>5.2</v>
      </c>
      <c r="F125" s="19" t="s">
        <v>136</v>
      </c>
      <c r="G125">
        <v>46599</v>
      </c>
      <c r="H125" s="5">
        <f>((((G125/2.6)/6)*56000)/1000000)*H$124</f>
        <v>54.920864492307686</v>
      </c>
      <c r="I125" s="16" t="s">
        <v>163</v>
      </c>
    </row>
    <row r="126" spans="1:12">
      <c r="A126" t="s">
        <v>122</v>
      </c>
      <c r="B126" t="s">
        <v>167</v>
      </c>
      <c r="C126">
        <v>5</v>
      </c>
      <c r="E126">
        <v>1.5</v>
      </c>
      <c r="F126" s="19"/>
      <c r="G126">
        <v>35462</v>
      </c>
      <c r="H126" s="5">
        <f t="shared" ref="H126:H134" si="2">((((G126/2.6)/6)*56000)/1000000)*H$124</f>
        <v>41.794967630769236</v>
      </c>
      <c r="I126" t="s">
        <v>159</v>
      </c>
    </row>
    <row r="127" spans="1:12">
      <c r="A127" t="s">
        <v>124</v>
      </c>
      <c r="B127" t="s">
        <v>167</v>
      </c>
      <c r="C127">
        <v>5</v>
      </c>
      <c r="E127">
        <v>0.45</v>
      </c>
      <c r="F127" s="19"/>
      <c r="G127">
        <v>12317</v>
      </c>
      <c r="H127" s="5">
        <f t="shared" si="2"/>
        <v>14.516626707692309</v>
      </c>
      <c r="I127" t="s">
        <v>159</v>
      </c>
    </row>
    <row r="128" spans="1:12">
      <c r="A128" t="s">
        <v>125</v>
      </c>
      <c r="B128" t="s">
        <v>132</v>
      </c>
      <c r="C128">
        <v>100</v>
      </c>
      <c r="E128">
        <f>40+3.5</f>
        <v>43.5</v>
      </c>
      <c r="F128" s="19" t="s">
        <v>136</v>
      </c>
      <c r="G128">
        <v>37535</v>
      </c>
      <c r="H128" s="5">
        <f t="shared" si="2"/>
        <v>44.238173538461538</v>
      </c>
      <c r="I128" t="s">
        <v>160</v>
      </c>
    </row>
    <row r="129" spans="1:12">
      <c r="A129" t="s">
        <v>126</v>
      </c>
      <c r="B129" t="s">
        <v>80</v>
      </c>
      <c r="C129">
        <v>6</v>
      </c>
      <c r="E129">
        <v>0.75</v>
      </c>
      <c r="F129" s="19"/>
      <c r="G129">
        <v>23537</v>
      </c>
      <c r="H129" s="5">
        <f t="shared" si="2"/>
        <v>27.740346092307689</v>
      </c>
      <c r="I129" t="s">
        <v>158</v>
      </c>
    </row>
    <row r="130" spans="1:12">
      <c r="A130" t="s">
        <v>127</v>
      </c>
      <c r="B130" t="s">
        <v>132</v>
      </c>
      <c r="C130">
        <v>100</v>
      </c>
      <c r="E130">
        <v>22</v>
      </c>
      <c r="F130" s="19"/>
      <c r="G130">
        <v>9145</v>
      </c>
      <c r="H130" s="5">
        <f t="shared" si="2"/>
        <v>10.778156307692308</v>
      </c>
    </row>
    <row r="131" spans="1:12">
      <c r="A131" t="s">
        <v>128</v>
      </c>
      <c r="B131" t="s">
        <v>83</v>
      </c>
      <c r="C131">
        <v>0.25600000000000001</v>
      </c>
      <c r="E131">
        <v>0.01</v>
      </c>
      <c r="F131" s="19"/>
      <c r="G131">
        <v>35967</v>
      </c>
      <c r="H131" s="5">
        <f t="shared" si="2"/>
        <v>42.390152861538454</v>
      </c>
      <c r="I131" t="s">
        <v>158</v>
      </c>
    </row>
    <row r="132" spans="1:12">
      <c r="A132" t="s">
        <v>129</v>
      </c>
      <c r="B132" t="s">
        <v>83</v>
      </c>
      <c r="C132">
        <v>0.25600000000000001</v>
      </c>
      <c r="E132">
        <v>1.5</v>
      </c>
      <c r="F132" s="19"/>
      <c r="G132">
        <v>31802</v>
      </c>
      <c r="H132" s="5">
        <f t="shared" si="2"/>
        <v>37.481347938461532</v>
      </c>
      <c r="J132" t="s">
        <v>217</v>
      </c>
      <c r="K132">
        <f>0+3+0+1+((H132-C132)/E132)</f>
        <v>28.81689862564102</v>
      </c>
      <c r="L132" s="19" t="s">
        <v>275</v>
      </c>
    </row>
    <row r="133" spans="1:12">
      <c r="A133" t="s">
        <v>130</v>
      </c>
      <c r="B133" t="s">
        <v>83</v>
      </c>
      <c r="C133">
        <v>1.5</v>
      </c>
      <c r="E133">
        <v>1.5</v>
      </c>
      <c r="F133" s="19"/>
      <c r="G133">
        <v>13137</v>
      </c>
      <c r="H133" s="5">
        <f t="shared" si="2"/>
        <v>15.483066092307695</v>
      </c>
      <c r="I133" t="s">
        <v>158</v>
      </c>
      <c r="J133" t="s">
        <v>217</v>
      </c>
      <c r="K133">
        <f>0+2+0+1+((H133-C133)/E133)</f>
        <v>12.322044061538463</v>
      </c>
      <c r="L133" s="19" t="s">
        <v>273</v>
      </c>
    </row>
    <row r="134" spans="1:12">
      <c r="A134" t="s">
        <v>131</v>
      </c>
      <c r="B134" t="s">
        <v>132</v>
      </c>
      <c r="C134">
        <v>100</v>
      </c>
      <c r="E134">
        <v>6.6</v>
      </c>
      <c r="F134" s="19"/>
      <c r="G134" s="10">
        <v>4237</v>
      </c>
      <c r="H134" s="5">
        <f t="shared" si="2"/>
        <v>4.9936630153846151</v>
      </c>
    </row>
    <row r="135" spans="1:12">
      <c r="A135" t="s">
        <v>120</v>
      </c>
      <c r="G135">
        <f>SUM(G125:G134)</f>
        <v>249738</v>
      </c>
    </row>
    <row r="136" spans="1:12">
      <c r="F136" s="1" t="s">
        <v>195</v>
      </c>
      <c r="G136">
        <f>G135/96043</f>
        <v>2.6002727944774735</v>
      </c>
    </row>
    <row r="137" spans="1:12">
      <c r="A137" s="3" t="s">
        <v>316</v>
      </c>
    </row>
    <row r="138" spans="1:12">
      <c r="B138" s="3" t="s">
        <v>317</v>
      </c>
      <c r="F138" s="19"/>
    </row>
    <row r="139" spans="1:12">
      <c r="B139" t="s">
        <v>322</v>
      </c>
      <c r="F139" s="19"/>
    </row>
    <row r="140" spans="1:12">
      <c r="B140" s="3" t="s">
        <v>318</v>
      </c>
      <c r="F140" s="19"/>
    </row>
    <row r="141" spans="1:12">
      <c r="B141" t="s">
        <v>175</v>
      </c>
      <c r="F141" s="19"/>
    </row>
    <row r="142" spans="1:12">
      <c r="B142" s="3" t="s">
        <v>319</v>
      </c>
      <c r="F142" s="19"/>
    </row>
    <row r="144" spans="1:12">
      <c r="A144" s="3" t="s">
        <v>137</v>
      </c>
    </row>
    <row r="145" spans="1:6">
      <c r="A145" t="s">
        <v>131</v>
      </c>
      <c r="F145" s="19" t="s">
        <v>136</v>
      </c>
    </row>
    <row r="146" spans="1:6">
      <c r="A146" t="s">
        <v>138</v>
      </c>
      <c r="F146" s="19" t="s">
        <v>136</v>
      </c>
    </row>
    <row r="147" spans="1:6">
      <c r="A147" t="s">
        <v>139</v>
      </c>
      <c r="F147" s="19" t="s">
        <v>136</v>
      </c>
    </row>
    <row r="148" spans="1:6">
      <c r="A148" t="s">
        <v>140</v>
      </c>
      <c r="F148" s="19" t="s">
        <v>197</v>
      </c>
    </row>
    <row r="149" spans="1:6">
      <c r="A149" t="s">
        <v>141</v>
      </c>
      <c r="F149" s="19" t="s">
        <v>199</v>
      </c>
    </row>
    <row r="150" spans="1:6">
      <c r="A150" t="s">
        <v>142</v>
      </c>
      <c r="F150" s="19" t="s">
        <v>180</v>
      </c>
    </row>
    <row r="151" spans="1:6">
      <c r="A151" t="s">
        <v>151</v>
      </c>
      <c r="F151" s="19"/>
    </row>
    <row r="152" spans="1:6">
      <c r="A152" t="s">
        <v>143</v>
      </c>
      <c r="F152" s="19" t="s">
        <v>200</v>
      </c>
    </row>
    <row r="153" spans="1:6">
      <c r="A153" t="s">
        <v>144</v>
      </c>
      <c r="F153" s="19" t="s">
        <v>197</v>
      </c>
    </row>
    <row r="154" spans="1:6">
      <c r="A154" t="s">
        <v>145</v>
      </c>
      <c r="F154" s="19" t="s">
        <v>201</v>
      </c>
    </row>
    <row r="155" spans="1:6">
      <c r="A155" t="s">
        <v>146</v>
      </c>
      <c r="F155" s="19" t="s">
        <v>181</v>
      </c>
    </row>
    <row r="156" spans="1:6">
      <c r="A156" t="s">
        <v>147</v>
      </c>
      <c r="F156" s="19"/>
    </row>
    <row r="157" spans="1:6">
      <c r="A157" t="s">
        <v>148</v>
      </c>
      <c r="F157" s="19" t="s">
        <v>197</v>
      </c>
    </row>
    <row r="158" spans="1:6">
      <c r="A158" t="s">
        <v>149</v>
      </c>
      <c r="F158" s="19" t="s">
        <v>197</v>
      </c>
    </row>
    <row r="159" spans="1:6">
      <c r="A159" t="s">
        <v>150</v>
      </c>
      <c r="F159" s="19" t="s">
        <v>202</v>
      </c>
    </row>
    <row r="160" spans="1:6">
      <c r="A160" t="s">
        <v>152</v>
      </c>
      <c r="F160" s="19"/>
    </row>
    <row r="161" spans="1:6">
      <c r="A161" t="s">
        <v>169</v>
      </c>
      <c r="F161" s="19"/>
    </row>
    <row r="162" spans="1:6">
      <c r="A162" t="s">
        <v>110</v>
      </c>
      <c r="F162" s="19" t="s">
        <v>198</v>
      </c>
    </row>
    <row r="163" spans="1:6">
      <c r="A163" t="s">
        <v>153</v>
      </c>
      <c r="F163" s="19"/>
    </row>
    <row r="164" spans="1:6">
      <c r="A164" t="s">
        <v>154</v>
      </c>
      <c r="F164" s="19"/>
    </row>
    <row r="166" spans="1:6">
      <c r="A166" s="3" t="s">
        <v>188</v>
      </c>
    </row>
    <row r="167" spans="1:6">
      <c r="A167" t="s">
        <v>110</v>
      </c>
      <c r="B167" t="s">
        <v>80</v>
      </c>
      <c r="C167">
        <v>44.2</v>
      </c>
      <c r="E167">
        <v>40</v>
      </c>
    </row>
    <row r="168" spans="1:6">
      <c r="A168" t="s">
        <v>145</v>
      </c>
      <c r="B168" t="s">
        <v>166</v>
      </c>
      <c r="C168">
        <v>45</v>
      </c>
      <c r="E168">
        <v>28</v>
      </c>
      <c r="F168" s="1" t="s">
        <v>170</v>
      </c>
    </row>
    <row r="169" spans="1:6">
      <c r="A169" t="s">
        <v>189</v>
      </c>
      <c r="B169" t="s">
        <v>191</v>
      </c>
      <c r="C169">
        <v>90</v>
      </c>
      <c r="E169">
        <v>44</v>
      </c>
    </row>
    <row r="170" spans="1:6">
      <c r="A170" t="s">
        <v>117</v>
      </c>
      <c r="B170" t="s">
        <v>166</v>
      </c>
      <c r="C170">
        <v>45</v>
      </c>
      <c r="E170">
        <v>43</v>
      </c>
      <c r="F170" s="1" t="s">
        <v>192</v>
      </c>
    </row>
    <row r="171" spans="1:6">
      <c r="A171" t="s">
        <v>190</v>
      </c>
      <c r="B171" t="s">
        <v>166</v>
      </c>
      <c r="C171">
        <v>155</v>
      </c>
      <c r="E171">
        <v>150</v>
      </c>
    </row>
    <row r="173" spans="1:6">
      <c r="A173" s="3" t="s">
        <v>305</v>
      </c>
    </row>
    <row r="174" spans="1:6">
      <c r="B174" s="3" t="s">
        <v>289</v>
      </c>
      <c r="C174" t="s">
        <v>292</v>
      </c>
    </row>
    <row r="175" spans="1:6">
      <c r="B175" s="3" t="s">
        <v>290</v>
      </c>
      <c r="C175" t="s">
        <v>291</v>
      </c>
    </row>
    <row r="176" spans="1:6">
      <c r="D176" t="s">
        <v>218</v>
      </c>
      <c r="E176" t="s">
        <v>219</v>
      </c>
      <c r="F176" s="1" t="s">
        <v>220</v>
      </c>
    </row>
    <row r="177" spans="2:6">
      <c r="F177" s="1" t="s">
        <v>231</v>
      </c>
    </row>
    <row r="178" spans="2:6">
      <c r="E178" t="s">
        <v>221</v>
      </c>
      <c r="F178" s="1" t="s">
        <v>222</v>
      </c>
    </row>
    <row r="179" spans="2:6">
      <c r="E179" t="s">
        <v>233</v>
      </c>
      <c r="F179" s="1" t="s">
        <v>230</v>
      </c>
    </row>
    <row r="180" spans="2:6">
      <c r="F180" s="1" t="s">
        <v>223</v>
      </c>
    </row>
    <row r="181" spans="2:6">
      <c r="F181" s="1" t="s">
        <v>224</v>
      </c>
    </row>
    <row r="182" spans="2:6">
      <c r="E182" t="s">
        <v>225</v>
      </c>
      <c r="F182" s="1" t="s">
        <v>226</v>
      </c>
    </row>
    <row r="183" spans="2:6">
      <c r="F183" s="1" t="s">
        <v>227</v>
      </c>
    </row>
    <row r="184" spans="2:6">
      <c r="E184" t="s">
        <v>228</v>
      </c>
      <c r="F184" s="1" t="s">
        <v>280</v>
      </c>
    </row>
    <row r="185" spans="2:6">
      <c r="F185" s="1" t="s">
        <v>281</v>
      </c>
    </row>
    <row r="186" spans="2:6">
      <c r="F186" s="1" t="s">
        <v>279</v>
      </c>
    </row>
    <row r="187" spans="2:6">
      <c r="E187" t="s">
        <v>285</v>
      </c>
      <c r="F187" s="22" t="s">
        <v>282</v>
      </c>
    </row>
    <row r="189" spans="2:6">
      <c r="E189" t="s">
        <v>232</v>
      </c>
    </row>
    <row r="190" spans="2:6">
      <c r="E190" s="29" t="s">
        <v>306</v>
      </c>
    </row>
    <row r="191" spans="2:6">
      <c r="B191" s="3" t="s">
        <v>310</v>
      </c>
      <c r="C191" t="s">
        <v>307</v>
      </c>
    </row>
  </sheetData>
  <mergeCells count="5">
    <mergeCell ref="J4:L4"/>
    <mergeCell ref="G4:H4"/>
    <mergeCell ref="A2:L2"/>
    <mergeCell ref="A1:L1"/>
    <mergeCell ref="A3:L3"/>
  </mergeCells>
  <phoneticPr fontId="0" type="noConversion"/>
  <hyperlinks>
    <hyperlink ref="B58" r:id="rId1" display="OC-3@6mb"/>
    <hyperlink ref="B56" r:id="rId2" display="OC-3@6mb"/>
    <hyperlink ref="B63" r:id="rId3" display="OC-3@9mb"/>
    <hyperlink ref="B34" r:id="rId4" display="OC-3@6mb"/>
    <hyperlink ref="B46" r:id="rId5" display="OC-3@6mb"/>
    <hyperlink ref="B57" r:id="rId6" display="OC-3@9mb"/>
  </hyperlinks>
  <pageMargins left="0.75" right="0.75" top="1" bottom="1" header="0.5" footer="0.5"/>
  <pageSetup scale="85" orientation="landscape" r:id="rId7"/>
  <headerFooter alignWithMargins="0">
    <oddHeader>&amp;C&amp;"Arial,Bold"&amp;14ATTACHMENT I</oddHeader>
    <oddFooter>&amp;L&amp;P&amp;RCEPRI Research Materials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4"/>
  <sheetViews>
    <sheetView workbookViewId="0">
      <selection activeCell="G25" sqref="G25"/>
    </sheetView>
  </sheetViews>
  <sheetFormatPr defaultRowHeight="12.75"/>
  <cols>
    <col min="1" max="1" width="12.28515625" style="19" customWidth="1"/>
    <col min="2" max="2" width="8.140625" customWidth="1"/>
    <col min="3" max="3" width="9.85546875" bestFit="1" customWidth="1"/>
    <col min="4" max="4" width="6" customWidth="1"/>
    <col min="6" max="6" width="8.5703125" customWidth="1"/>
    <col min="7" max="7" width="8.28515625" customWidth="1"/>
    <col min="8" max="8" width="8.42578125" customWidth="1"/>
    <col min="9" max="9" width="10.85546875" customWidth="1"/>
    <col min="11" max="11" width="8.42578125" customWidth="1"/>
    <col min="12" max="12" width="10.5703125" customWidth="1"/>
    <col min="14" max="14" width="8" customWidth="1"/>
    <col min="15" max="15" width="7.85546875" customWidth="1"/>
    <col min="16" max="16" width="9.7109375" customWidth="1"/>
    <col min="17" max="18" width="11" customWidth="1"/>
    <col min="19" max="19" width="10" customWidth="1"/>
  </cols>
  <sheetData>
    <row r="2" spans="1:19" s="22" customFormat="1" ht="18">
      <c r="A2" s="35" t="s">
        <v>203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>
      <c r="A3" s="36" t="s">
        <v>259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1:19" s="19" customFormat="1" ht="38.25">
      <c r="A4" s="2" t="s">
        <v>213</v>
      </c>
      <c r="B4" s="19" t="s">
        <v>140</v>
      </c>
      <c r="C4" s="19" t="s">
        <v>141</v>
      </c>
      <c r="D4" s="19" t="s">
        <v>142</v>
      </c>
      <c r="E4" s="19" t="s">
        <v>151</v>
      </c>
      <c r="F4" s="19" t="s">
        <v>205</v>
      </c>
      <c r="G4" s="19" t="s">
        <v>144</v>
      </c>
      <c r="H4" s="19" t="s">
        <v>145</v>
      </c>
      <c r="I4" s="19" t="s">
        <v>210</v>
      </c>
      <c r="J4" s="19" t="s">
        <v>147</v>
      </c>
      <c r="K4" s="19" t="s">
        <v>204</v>
      </c>
      <c r="L4" s="19" t="s">
        <v>149</v>
      </c>
      <c r="M4" s="19" t="s">
        <v>150</v>
      </c>
      <c r="N4" s="19" t="s">
        <v>206</v>
      </c>
      <c r="O4" s="19" t="s">
        <v>207</v>
      </c>
      <c r="P4" s="19" t="s">
        <v>110</v>
      </c>
      <c r="Q4" s="19" t="s">
        <v>208</v>
      </c>
      <c r="R4" s="19" t="s">
        <v>209</v>
      </c>
      <c r="S4" s="19" t="s">
        <v>212</v>
      </c>
    </row>
    <row r="5" spans="1:19">
      <c r="A5" s="19" t="s">
        <v>140</v>
      </c>
      <c r="B5" s="23"/>
      <c r="N5" s="28" t="s">
        <v>235</v>
      </c>
      <c r="O5" t="s">
        <v>236</v>
      </c>
    </row>
    <row r="6" spans="1:19">
      <c r="A6" s="19" t="s">
        <v>141</v>
      </c>
      <c r="C6" s="23"/>
      <c r="F6" t="s">
        <v>237</v>
      </c>
      <c r="H6" t="s">
        <v>238</v>
      </c>
      <c r="I6" s="28" t="s">
        <v>239</v>
      </c>
      <c r="L6" s="31" t="s">
        <v>240</v>
      </c>
      <c r="N6" t="s">
        <v>173</v>
      </c>
    </row>
    <row r="7" spans="1:19">
      <c r="A7" s="19" t="s">
        <v>142</v>
      </c>
      <c r="D7" s="23"/>
    </row>
    <row r="8" spans="1:19">
      <c r="A8" s="19" t="s">
        <v>151</v>
      </c>
      <c r="E8" s="23"/>
      <c r="F8" t="s">
        <v>241</v>
      </c>
      <c r="H8" s="28" t="s">
        <v>242</v>
      </c>
      <c r="M8" s="28" t="s">
        <v>243</v>
      </c>
      <c r="O8" s="26"/>
      <c r="S8" s="28" t="s">
        <v>249</v>
      </c>
    </row>
    <row r="9" spans="1:19">
      <c r="A9" s="19" t="s">
        <v>205</v>
      </c>
      <c r="F9" s="23"/>
      <c r="H9" t="s">
        <v>244</v>
      </c>
      <c r="M9" t="s">
        <v>245</v>
      </c>
      <c r="N9" t="s">
        <v>246</v>
      </c>
      <c r="S9" s="28" t="s">
        <v>250</v>
      </c>
    </row>
    <row r="10" spans="1:19">
      <c r="A10" s="19" t="s">
        <v>144</v>
      </c>
      <c r="G10" s="23"/>
      <c r="I10" t="s">
        <v>247</v>
      </c>
      <c r="P10" s="31" t="s">
        <v>248</v>
      </c>
    </row>
    <row r="11" spans="1:19">
      <c r="A11" s="19" t="s">
        <v>145</v>
      </c>
      <c r="C11" s="28" t="s">
        <v>251</v>
      </c>
      <c r="H11" s="23"/>
      <c r="I11" t="s">
        <v>245</v>
      </c>
      <c r="K11" s="28" t="s">
        <v>252</v>
      </c>
      <c r="M11" t="s">
        <v>253</v>
      </c>
      <c r="N11" t="s">
        <v>244</v>
      </c>
      <c r="S11" t="s">
        <v>254</v>
      </c>
    </row>
    <row r="12" spans="1:19" ht="25.5">
      <c r="A12" s="19" t="s">
        <v>210</v>
      </c>
      <c r="H12" t="s">
        <v>255</v>
      </c>
      <c r="I12" s="23"/>
      <c r="P12" t="s">
        <v>245</v>
      </c>
      <c r="Q12" t="s">
        <v>258</v>
      </c>
      <c r="R12" t="s">
        <v>256</v>
      </c>
      <c r="S12" t="s">
        <v>257</v>
      </c>
    </row>
    <row r="13" spans="1:19">
      <c r="A13" s="19" t="s">
        <v>147</v>
      </c>
      <c r="G13" t="s">
        <v>260</v>
      </c>
      <c r="J13" s="23"/>
    </row>
    <row r="14" spans="1:19">
      <c r="A14" s="19" t="s">
        <v>204</v>
      </c>
      <c r="H14" t="s">
        <v>261</v>
      </c>
      <c r="K14" s="23"/>
      <c r="M14" t="s">
        <v>262</v>
      </c>
    </row>
    <row r="15" spans="1:19" ht="18" customHeight="1">
      <c r="A15" s="19" t="s">
        <v>149</v>
      </c>
      <c r="C15" s="31" t="s">
        <v>263</v>
      </c>
      <c r="I15" s="28" t="s">
        <v>252</v>
      </c>
      <c r="L15" s="23"/>
      <c r="O15" t="s">
        <v>247</v>
      </c>
    </row>
    <row r="16" spans="1:19">
      <c r="A16" s="19" t="s">
        <v>211</v>
      </c>
      <c r="K16" t="s">
        <v>245</v>
      </c>
      <c r="M16" s="23"/>
    </row>
    <row r="17" spans="1:19">
      <c r="A17" s="19" t="s">
        <v>206</v>
      </c>
      <c r="B17" s="28" t="s">
        <v>264</v>
      </c>
      <c r="C17" t="s">
        <v>265</v>
      </c>
      <c r="N17" s="23"/>
    </row>
    <row r="18" spans="1:19">
      <c r="A18" s="19" t="s">
        <v>207</v>
      </c>
      <c r="O18" s="23"/>
    </row>
    <row r="19" spans="1:19">
      <c r="A19" s="19" t="s">
        <v>110</v>
      </c>
      <c r="G19" t="s">
        <v>266</v>
      </c>
      <c r="I19" t="s">
        <v>267</v>
      </c>
      <c r="P19" s="23"/>
      <c r="S19" s="31" t="s">
        <v>268</v>
      </c>
    </row>
    <row r="20" spans="1:19" ht="25.5">
      <c r="A20" s="19" t="s">
        <v>208</v>
      </c>
      <c r="C20" s="31" t="s">
        <v>269</v>
      </c>
      <c r="G20" t="s">
        <v>270</v>
      </c>
      <c r="L20" s="28" t="s">
        <v>252</v>
      </c>
      <c r="Q20" s="23"/>
    </row>
    <row r="21" spans="1:19" ht="29.25" customHeight="1">
      <c r="A21" s="19" t="s">
        <v>209</v>
      </c>
      <c r="I21" t="s">
        <v>271</v>
      </c>
      <c r="R21" s="23"/>
    </row>
    <row r="23" spans="1:19">
      <c r="A23" s="25" t="s">
        <v>283</v>
      </c>
      <c r="C23" s="30"/>
      <c r="E23" t="s">
        <v>284</v>
      </c>
    </row>
    <row r="24" spans="1:19">
      <c r="C24" s="27"/>
      <c r="E24" t="s">
        <v>311</v>
      </c>
    </row>
  </sheetData>
  <mergeCells count="2">
    <mergeCell ref="A2:S2"/>
    <mergeCell ref="A3:S3"/>
  </mergeCells>
  <phoneticPr fontId="0" type="noConversion"/>
  <printOptions gridLines="1"/>
  <pageMargins left="0.75" right="0.75" top="1" bottom="1" header="0.5" footer="0.5"/>
  <pageSetup scale="70" orientation="landscape" r:id="rId1"/>
  <headerFooter alignWithMargins="0">
    <oddHeader>&amp;C&amp;"Arial,Bold"&amp;14ATTACHMENT I</oddHeader>
    <oddFooter>&amp;L&amp;12 6&amp;R&amp;12CEPRI Research Materials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activeCell="O15" sqref="O15"/>
    </sheetView>
  </sheetViews>
  <sheetFormatPr defaultRowHeight="12.75"/>
  <cols>
    <col min="1" max="1" width="11.28515625" customWidth="1"/>
    <col min="2" max="2" width="6.5703125" customWidth="1"/>
    <col min="3" max="3" width="9.85546875" customWidth="1"/>
    <col min="4" max="4" width="6.140625" customWidth="1"/>
    <col min="6" max="6" width="8.140625" customWidth="1"/>
    <col min="7" max="7" width="7.85546875" customWidth="1"/>
    <col min="8" max="8" width="6.85546875" customWidth="1"/>
    <col min="9" max="9" width="10.85546875" customWidth="1"/>
    <col min="10" max="10" width="8.42578125" customWidth="1"/>
    <col min="11" max="11" width="8" customWidth="1"/>
    <col min="12" max="12" width="10.85546875" customWidth="1"/>
    <col min="14" max="14" width="8.28515625" customWidth="1"/>
    <col min="16" max="16" width="9.7109375" customWidth="1"/>
    <col min="17" max="17" width="11.85546875" customWidth="1"/>
    <col min="18" max="18" width="11.5703125" customWidth="1"/>
  </cols>
  <sheetData>
    <row r="1" spans="1:19">
      <c r="A1" t="s">
        <v>215</v>
      </c>
    </row>
    <row r="3" spans="1:19" s="19" customFormat="1" ht="25.5">
      <c r="A3" s="19" t="s">
        <v>214</v>
      </c>
      <c r="B3" s="19" t="s">
        <v>140</v>
      </c>
      <c r="C3" s="19" t="s">
        <v>141</v>
      </c>
      <c r="D3" s="19" t="s">
        <v>142</v>
      </c>
      <c r="E3" s="19" t="s">
        <v>151</v>
      </c>
      <c r="F3" s="19" t="s">
        <v>205</v>
      </c>
      <c r="G3" s="19" t="s">
        <v>144</v>
      </c>
      <c r="H3" s="19" t="s">
        <v>145</v>
      </c>
      <c r="I3" s="19" t="s">
        <v>210</v>
      </c>
      <c r="J3" s="19" t="s">
        <v>147</v>
      </c>
      <c r="K3" s="19" t="s">
        <v>204</v>
      </c>
      <c r="L3" s="19" t="s">
        <v>149</v>
      </c>
      <c r="M3" s="19" t="s">
        <v>150</v>
      </c>
      <c r="N3" s="19" t="s">
        <v>206</v>
      </c>
      <c r="O3" s="19" t="s">
        <v>207</v>
      </c>
      <c r="P3" s="19" t="s">
        <v>110</v>
      </c>
      <c r="Q3" s="19" t="s">
        <v>208</v>
      </c>
      <c r="R3" s="19" t="s">
        <v>209</v>
      </c>
      <c r="S3" s="19" t="s">
        <v>212</v>
      </c>
    </row>
    <row r="4" spans="1:19">
      <c r="A4" s="19" t="s">
        <v>140</v>
      </c>
    </row>
    <row r="5" spans="1:19">
      <c r="A5" s="19" t="s">
        <v>141</v>
      </c>
    </row>
    <row r="6" spans="1:19">
      <c r="A6" s="19" t="s">
        <v>142</v>
      </c>
    </row>
    <row r="7" spans="1:19">
      <c r="A7" s="19" t="s">
        <v>151</v>
      </c>
      <c r="M7">
        <v>80</v>
      </c>
    </row>
    <row r="8" spans="1:19" ht="25.5">
      <c r="A8" s="19" t="s">
        <v>205</v>
      </c>
      <c r="N8">
        <f>32+26</f>
        <v>58</v>
      </c>
    </row>
    <row r="9" spans="1:19" ht="25.5">
      <c r="A9" s="19" t="s">
        <v>144</v>
      </c>
    </row>
    <row r="10" spans="1:19">
      <c r="A10" s="19" t="s">
        <v>145</v>
      </c>
    </row>
    <row r="11" spans="1:19" ht="25.5">
      <c r="A11" s="19" t="s">
        <v>210</v>
      </c>
      <c r="M11">
        <v>35</v>
      </c>
    </row>
    <row r="12" spans="1:19">
      <c r="A12" s="19" t="s">
        <v>147</v>
      </c>
    </row>
    <row r="13" spans="1:19">
      <c r="A13" s="19" t="s">
        <v>204</v>
      </c>
      <c r="K13">
        <v>18</v>
      </c>
    </row>
    <row r="14" spans="1:19">
      <c r="A14" s="19" t="s">
        <v>149</v>
      </c>
    </row>
    <row r="15" spans="1:19">
      <c r="A15" s="19" t="s">
        <v>211</v>
      </c>
    </row>
    <row r="16" spans="1:19" ht="25.5">
      <c r="A16" s="19" t="s">
        <v>206</v>
      </c>
    </row>
    <row r="17" spans="1:1">
      <c r="A17" s="19" t="s">
        <v>207</v>
      </c>
    </row>
    <row r="18" spans="1:1">
      <c r="A18" s="19" t="s">
        <v>110</v>
      </c>
    </row>
    <row r="19" spans="1:1" ht="25.5">
      <c r="A19" s="19" t="s">
        <v>208</v>
      </c>
    </row>
    <row r="20" spans="1:1" ht="25.5">
      <c r="A20" s="19" t="s">
        <v>209</v>
      </c>
    </row>
  </sheetData>
  <phoneticPr fontId="0" type="noConversion"/>
  <pageMargins left="0.75" right="0.75" top="1" bottom="1" header="0.5" footer="0.5"/>
  <pageSetup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4" sqref="I34"/>
    </sheetView>
  </sheetViews>
  <sheetFormatPr defaultRowHeight="12.75"/>
  <sheetData/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Bandwidth Criteria</vt:lpstr>
      <vt:lpstr>Hub View</vt:lpstr>
      <vt:lpstr>Backbone Circuits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'Bandwidth Criteria'!Print_Area</vt:lpstr>
    </vt:vector>
  </TitlesOfParts>
  <Company>State of Florida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Mikyska, Michelle</cp:lastModifiedBy>
  <cp:lastPrinted>2002-09-03T20:25:22Z</cp:lastPrinted>
  <dcterms:created xsi:type="dcterms:W3CDTF">2002-07-01T16:37:00Z</dcterms:created>
  <dcterms:modified xsi:type="dcterms:W3CDTF">2023-10-23T17:00:31Z</dcterms:modified>
</cp:coreProperties>
</file>